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602" activeTab="0"/>
  </bookViews>
  <sheets>
    <sheet name="Statistique 02-03" sheetId="1" r:id="rId1"/>
    <sheet name="Nature" sheetId="2" r:id="rId2"/>
    <sheet name="Onco" sheetId="3" r:id="rId3"/>
    <sheet name="Salle d'op" sheetId="4" r:id="rId4"/>
    <sheet name="Urgence" sheetId="5" r:id="rId5"/>
    <sheet name="Volume" sheetId="6" r:id="rId6"/>
  </sheets>
  <definedNames>
    <definedName name="_xlnm.Print_Titles" localSheetId="0">'Statistique 02-03'!$A:$A,'Statistique 02-03'!$1:$1</definedName>
    <definedName name="_xlnm.Print_Area" localSheetId="1">'Nature'!$A$1:$K$46</definedName>
    <definedName name="_xlnm.Print_Area" localSheetId="0">'Statistique 02-03'!$A$1:$Q$68</definedName>
    <definedName name="_xlnm.Print_Area" localSheetId="4">'Urgence'!$DG$1:$DO$27</definedName>
    <definedName name="_xlnm.Print_Area" localSheetId="5">'Volume'!$B$28:$H$37</definedName>
  </definedNames>
  <calcPr fullCalcOnLoad="1"/>
</workbook>
</file>

<file path=xl/sharedStrings.xml><?xml version="1.0" encoding="utf-8"?>
<sst xmlns="http://schemas.openxmlformats.org/spreadsheetml/2006/main" count="3617" uniqueCount="269">
  <si>
    <t>Volumes</t>
  </si>
  <si>
    <t>Pér. 13</t>
  </si>
  <si>
    <t>Cumulatif</t>
  </si>
  <si>
    <t>Réel</t>
  </si>
  <si>
    <t>% écart</t>
  </si>
  <si>
    <t>00-01</t>
  </si>
  <si>
    <t>99-00</t>
  </si>
  <si>
    <t>Écart- Cumul</t>
  </si>
  <si>
    <t>réel</t>
  </si>
  <si>
    <t xml:space="preserve">Écart </t>
  </si>
  <si>
    <t>%</t>
  </si>
  <si>
    <t>ordonnance- interne</t>
  </si>
  <si>
    <t>ord. -unité de jour</t>
  </si>
  <si>
    <t>ord. - urgence</t>
  </si>
  <si>
    <t>ord. -externe</t>
  </si>
  <si>
    <t>perf. intraveineuses</t>
  </si>
  <si>
    <t>TOTAL- RÉEL</t>
  </si>
  <si>
    <t>BUDGET</t>
  </si>
  <si>
    <t>Écart</t>
  </si>
  <si>
    <t>Budget</t>
  </si>
  <si>
    <t>Per 12</t>
  </si>
  <si>
    <t>solutés</t>
  </si>
  <si>
    <t>GRAND TOTAL</t>
  </si>
  <si>
    <t>Per 11</t>
  </si>
  <si>
    <t>ordonnances</t>
  </si>
  <si>
    <t>coût</t>
  </si>
  <si>
    <t>total</t>
  </si>
  <si>
    <t>Visites</t>
  </si>
  <si>
    <t>Civières occupées</t>
  </si>
  <si>
    <t>Nouv. clients couchés/jour</t>
  </si>
  <si>
    <t>Nb ord/nouv.clients/jour</t>
  </si>
  <si>
    <t>Coût par civières occ./jour</t>
  </si>
  <si>
    <t>Coût par nouv clients/jour</t>
  </si>
  <si>
    <t>Heures présence</t>
  </si>
  <si>
    <r>
      <t xml:space="preserve">Usagers </t>
    </r>
    <r>
      <rPr>
        <b/>
        <sz val="8"/>
        <rFont val="Arial"/>
        <family val="2"/>
      </rPr>
      <t>excluant mini</t>
    </r>
  </si>
  <si>
    <t>Coût / heure présence</t>
  </si>
  <si>
    <t>Coût / usager</t>
  </si>
  <si>
    <t>Per</t>
  </si>
  <si>
    <t>annuel</t>
  </si>
  <si>
    <t>oncologie-MDJ</t>
  </si>
  <si>
    <t>onco-urologie</t>
  </si>
  <si>
    <t>préparations</t>
  </si>
  <si>
    <t>seringue</t>
  </si>
  <si>
    <t>irrigation</t>
  </si>
  <si>
    <t>perfusion</t>
  </si>
  <si>
    <t>visites avec Tx</t>
  </si>
  <si>
    <t>2910 - 4310</t>
  </si>
  <si>
    <t>2910-  4910</t>
  </si>
  <si>
    <t>côut/ordon.</t>
  </si>
  <si>
    <t>côut moyen par préparation</t>
  </si>
  <si>
    <t>côut/ visite</t>
  </si>
  <si>
    <t>nb ord / visite</t>
  </si>
  <si>
    <t>nb prép./visite</t>
  </si>
  <si>
    <t>écart</t>
  </si>
  <si>
    <t>Cum</t>
  </si>
  <si>
    <t>Per 1</t>
  </si>
  <si>
    <t>Per 2</t>
  </si>
  <si>
    <t>Per 3</t>
  </si>
  <si>
    <t>Per 4</t>
  </si>
  <si>
    <t>Per 5</t>
  </si>
  <si>
    <t>Per 6</t>
  </si>
  <si>
    <t>Per 7</t>
  </si>
  <si>
    <t>Per 8</t>
  </si>
  <si>
    <t>Per 9</t>
  </si>
  <si>
    <t>Per 10</t>
  </si>
  <si>
    <t>Per 13</t>
  </si>
  <si>
    <t>%écart</t>
  </si>
  <si>
    <t>01-02</t>
  </si>
  <si>
    <t>interne</t>
  </si>
  <si>
    <t>patients admis</t>
  </si>
  <si>
    <t>CGSI:nouv+cess+ren+modif-pen-Rose-Lima-Urg-unité-jour+manuelles</t>
  </si>
  <si>
    <t>unité de jour</t>
  </si>
  <si>
    <t>médecine + chirurgie</t>
  </si>
  <si>
    <t>CGSI-nouv+cess+ren+modif</t>
  </si>
  <si>
    <t>urgence</t>
  </si>
  <si>
    <t>externe</t>
  </si>
  <si>
    <t>facturation</t>
  </si>
  <si>
    <t>onco</t>
  </si>
  <si>
    <t>uro</t>
  </si>
  <si>
    <t>gyn</t>
  </si>
  <si>
    <t>dialyse</t>
  </si>
  <si>
    <t>divers</t>
  </si>
  <si>
    <t>autres cliniques ext.</t>
  </si>
  <si>
    <t>sous total patients inscrits</t>
  </si>
  <si>
    <t>sous total</t>
  </si>
  <si>
    <t>perfu IV</t>
  </si>
  <si>
    <t>CGSI-nouv+cess(stat. Quot.)</t>
  </si>
  <si>
    <t>cl externes+med+cx de jour</t>
  </si>
  <si>
    <t>CGSI-nouv+cess</t>
  </si>
  <si>
    <t>CGSI-nouv+cess (stat.Quot.)</t>
  </si>
  <si>
    <t>total ordonnances + perf IV</t>
  </si>
  <si>
    <t>add solutés</t>
  </si>
  <si>
    <t>unités de soins</t>
  </si>
  <si>
    <t>magistrale stériles</t>
  </si>
  <si>
    <t>reg. données</t>
  </si>
  <si>
    <t>magistrales non sté.</t>
  </si>
  <si>
    <t>alimentation parentérale</t>
  </si>
  <si>
    <t>soluté avec retrait</t>
  </si>
  <si>
    <t>sous total patients admis</t>
  </si>
  <si>
    <t>intermate et cadd</t>
  </si>
  <si>
    <t>reg. Données=AB iv</t>
  </si>
  <si>
    <t>chimiothérapie</t>
  </si>
  <si>
    <t>reg. Données</t>
  </si>
  <si>
    <t>à domicile</t>
  </si>
  <si>
    <t>infuseur</t>
  </si>
  <si>
    <t>sous total patients à domicile</t>
  </si>
  <si>
    <t>sous total chimio</t>
  </si>
  <si>
    <t>sous total add sol</t>
  </si>
  <si>
    <t>ÉCART au budget</t>
  </si>
  <si>
    <t>jours cum per/365</t>
  </si>
  <si>
    <t>Pér. 1</t>
  </si>
  <si>
    <t>01-02 vs 00-01</t>
  </si>
  <si>
    <t>02vs01</t>
  </si>
  <si>
    <t>Pér. 2</t>
  </si>
  <si>
    <t>Pér. 3</t>
  </si>
  <si>
    <t>Pér. 4</t>
  </si>
  <si>
    <t>Pér. 5</t>
  </si>
  <si>
    <t>Pér. 6</t>
  </si>
  <si>
    <t>Pér. 7</t>
  </si>
  <si>
    <t>Pér. 8</t>
  </si>
  <si>
    <t>Pér. 9</t>
  </si>
  <si>
    <t>Pér. 10</t>
  </si>
  <si>
    <t>Pér. 11</t>
  </si>
  <si>
    <t>Pér. 12</t>
  </si>
  <si>
    <t xml:space="preserve">prép stériles ou non </t>
  </si>
  <si>
    <t>externe           urg+clin ext+ unités de jour</t>
  </si>
  <si>
    <t>(Proj.)</t>
  </si>
  <si>
    <t>Analyse et projection annuelles des résultats financiers et actions correctives</t>
  </si>
  <si>
    <t>Exercice 2001-2002</t>
  </si>
  <si>
    <t>Service/dép: Pharmacie</t>
  </si>
  <si>
    <t>Service # 6800</t>
  </si>
  <si>
    <t>Date:</t>
  </si>
  <si>
    <t>2001-2002</t>
  </si>
  <si>
    <t>13 pér.</t>
  </si>
  <si>
    <t>Projection 01-02</t>
  </si>
  <si>
    <t>Dép.</t>
  </si>
  <si>
    <t>Période #1</t>
  </si>
  <si>
    <t>Période #2</t>
  </si>
  <si>
    <t>Période #3</t>
  </si>
  <si>
    <t>Période #4</t>
  </si>
  <si>
    <t>Période #5</t>
  </si>
  <si>
    <t>Période #6</t>
  </si>
  <si>
    <t>Période #7</t>
  </si>
  <si>
    <t>Période #8</t>
  </si>
  <si>
    <t>Période #9</t>
  </si>
  <si>
    <t>Période #10</t>
  </si>
  <si>
    <t>Période #11</t>
  </si>
  <si>
    <t>Période #12</t>
  </si>
  <si>
    <t>Période #13</t>
  </si>
  <si>
    <t>Cumulatif 01-02 vs 00-01</t>
  </si>
  <si>
    <t>Coût   2900</t>
  </si>
  <si>
    <r>
      <t xml:space="preserve">Signature chef de service: </t>
    </r>
    <r>
      <rPr>
        <b/>
        <u val="single"/>
        <sz val="10"/>
        <rFont val="Arial"/>
        <family val="2"/>
      </rPr>
      <t>Francine Lussier-Labelle</t>
    </r>
  </si>
  <si>
    <t>Urgence</t>
  </si>
  <si>
    <t>ONCOLOGIE</t>
  </si>
  <si>
    <t>Pour la période #5, se terminant le 25 août 2001</t>
  </si>
  <si>
    <t>Pour la période #8, se terminant le 17 novembre 2001</t>
  </si>
  <si>
    <t>Pour la période #9, se terminant le 15 décembre 2001</t>
  </si>
  <si>
    <t>Pour la période 3, se terminant le 30 juin 2001</t>
  </si>
  <si>
    <t>Pour la période 12, se terminant le 9 mars 2002</t>
  </si>
  <si>
    <t>Pour la période #10, se terminant le 12 janvier 2002</t>
  </si>
  <si>
    <t>Pour la période #11, se terminant le 9 février 2002</t>
  </si>
  <si>
    <t>Pour la période #12, se terminant le 9 mars 2002</t>
  </si>
  <si>
    <t xml:space="preserve">Cumulatif </t>
  </si>
  <si>
    <t>Nature</t>
  </si>
  <si>
    <t>Analyse financière</t>
  </si>
  <si>
    <t>Service/Département: Pharmacie</t>
  </si>
  <si>
    <t>Numéro de service: 6800</t>
  </si>
  <si>
    <t>Signature du chef de service:__________________________</t>
  </si>
  <si>
    <t>Date:_____________________</t>
  </si>
  <si>
    <t>Salle d'opération</t>
  </si>
  <si>
    <t>Signature du chef de service : _____________________________</t>
  </si>
  <si>
    <t>Date: __________________</t>
  </si>
  <si>
    <t>Fournitures Diverses</t>
  </si>
  <si>
    <t>Frais Administration</t>
  </si>
  <si>
    <t>Revenus</t>
  </si>
  <si>
    <t>Médicaments</t>
  </si>
  <si>
    <t>Volume</t>
  </si>
  <si>
    <t>Signature chef de service:_______________________</t>
  </si>
  <si>
    <t>Écart en % pour 2001-02</t>
  </si>
  <si>
    <t>Signature du chef:</t>
  </si>
  <si>
    <t>perfusion (sol)</t>
  </si>
  <si>
    <t>Pour la période 1, se terminant le 5 mai 2002</t>
  </si>
  <si>
    <t>Exercice 2002-2003</t>
  </si>
  <si>
    <t>Pour la période 2, se terminant le 2 juin 2002</t>
  </si>
  <si>
    <t>Pour la période 3, se terminant le 30 juin 2002</t>
  </si>
  <si>
    <t>Pour la période 4, se terminant le 28 juillet 2002</t>
  </si>
  <si>
    <t>STATISTIQUES 02-03</t>
  </si>
  <si>
    <t>Pour la période 5, se terminant le 25 août 2002</t>
  </si>
  <si>
    <t>Pour la période 6, se terminant le 22 septembre 2002</t>
  </si>
  <si>
    <t>Pour la période 7, se terminant le 20 octobre 2002</t>
  </si>
  <si>
    <t>Pour la période 8, se terminant le 17 novembre 2002</t>
  </si>
  <si>
    <t>Pour la période 9, se terminant le 15 décembre 2002</t>
  </si>
  <si>
    <t>Pour la période 10, se terminant le 12 janvier 2003</t>
  </si>
  <si>
    <t>Pour la période 11, se terminant le 9 février 2003</t>
  </si>
  <si>
    <t>Pour la période 12, se terminant le 9 mars 2003</t>
  </si>
  <si>
    <t>Pour la période 13, se terminant le 31 mars 2003</t>
  </si>
  <si>
    <t>02-03 vs 01-02</t>
  </si>
  <si>
    <t>2002-2003</t>
  </si>
  <si>
    <t>Cumulatif 02-03 vs 01-02</t>
  </si>
  <si>
    <t xml:space="preserve"> 02-03</t>
  </si>
  <si>
    <t>Écart en % pour 2002-03</t>
  </si>
  <si>
    <t>02-03</t>
  </si>
  <si>
    <t>Écart en % pour2002-03</t>
  </si>
  <si>
    <t>Pour la période #1, se terminant le 5 mai 2002</t>
  </si>
  <si>
    <t>Cumulatif 02-03</t>
  </si>
  <si>
    <t>Projection 02-03</t>
  </si>
  <si>
    <t>2002-2003 vs 2001-2002</t>
  </si>
  <si>
    <t>Pour la période 1 se terminant le 5 mai 2002</t>
  </si>
  <si>
    <t>onco-4</t>
  </si>
  <si>
    <t>perfusion (cadd)</t>
  </si>
  <si>
    <t>Projection02-03</t>
  </si>
  <si>
    <t>Onco-4</t>
  </si>
  <si>
    <t>cadd-infuseur</t>
  </si>
  <si>
    <t>nombre de jours/365:</t>
  </si>
  <si>
    <t>Pour la période #2, se terminant le 1 juin 2002</t>
  </si>
  <si>
    <t>Pour la période 2, se terminant le 1 juin 2002</t>
  </si>
  <si>
    <t>Pour la période 1, se terminant le 4 mai 2002</t>
  </si>
  <si>
    <t>Pour la période 2, se terminant le 2 juin 21 juin 2002</t>
  </si>
  <si>
    <t>Pour la période 2 se terminant le 1 juin 2002</t>
  </si>
  <si>
    <t>02-03 va 01-02</t>
  </si>
  <si>
    <t>Projection 2002-2003</t>
  </si>
  <si>
    <t>Réel 2001-2002</t>
  </si>
  <si>
    <t>Source</t>
  </si>
  <si>
    <t>Écart en % pour2002-2003</t>
  </si>
  <si>
    <t>Cumulatif02-03 vs 01-02</t>
  </si>
  <si>
    <t>Pour la période #3, se terminant le 30 juin 2002</t>
  </si>
  <si>
    <t>Exercice2002-2003</t>
  </si>
  <si>
    <t>Pour la période 3 se terminant le 30 juin 2002</t>
  </si>
  <si>
    <t>03-vs 02</t>
  </si>
  <si>
    <t>Pour la période #4, se terminant le 27 juillet 2002</t>
  </si>
  <si>
    <t>02-03 VS 01-02</t>
  </si>
  <si>
    <t>Cumulatif 01-02 VS 02-03</t>
  </si>
  <si>
    <t>Cumulatif02-03</t>
  </si>
  <si>
    <t>Pour la période 4, se terminant le 27 juillet 2002</t>
  </si>
  <si>
    <t>Cumulatif 02-03 VS 01-02</t>
  </si>
  <si>
    <t>Pour la période 5, se terminant le 24 août 2002</t>
  </si>
  <si>
    <t>Pour la période 5, se terminant le 24août 2002</t>
  </si>
  <si>
    <t>Exercice 2002-203</t>
  </si>
  <si>
    <t>Pour la période #6, se terminant le 21 septembre 2002</t>
  </si>
  <si>
    <t>Cumulatif01-02 vs 02-03</t>
  </si>
  <si>
    <t>Pour la période 6, se terminant le 21 septembre 2002</t>
  </si>
  <si>
    <t>Pour la période #7, se terminant le 19 octobre 2002</t>
  </si>
  <si>
    <t>02-03 VS  01-02</t>
  </si>
  <si>
    <t>Écart en % pour 2002-2003</t>
  </si>
  <si>
    <t>2002-203</t>
  </si>
  <si>
    <t>Pour la période 8, se terminant le 16 novembre 2002</t>
  </si>
  <si>
    <t>Pour la période 7, se terminant le 19 octobre 2002</t>
  </si>
  <si>
    <t>03 vs 02</t>
  </si>
  <si>
    <t>Pour la période 5 se terminant le 24 août 2002</t>
  </si>
  <si>
    <t>Pour la période 6 se terminant le 21 septembre2002</t>
  </si>
  <si>
    <t>Pour la période 7 se terminant le 19 octobre 2002</t>
  </si>
  <si>
    <t>Pour la période 8 se terminant le 16 novembre 2002</t>
  </si>
  <si>
    <t>Pour la période 4 se terminant le 27 juillet 2002</t>
  </si>
  <si>
    <t>00-99</t>
  </si>
  <si>
    <t>Pour la période 9 se terminant le 14 décembre 2002</t>
  </si>
  <si>
    <t>Pour la période 10 se terminant le 11 janvier 2003</t>
  </si>
  <si>
    <t>Pour la période 11 se terminant le 8 février 2003</t>
  </si>
  <si>
    <t>Pour la période 12 se terminant le 8 mars 2003</t>
  </si>
  <si>
    <t>Pour la période 13 se terminant le 31 mars 2003</t>
  </si>
  <si>
    <t>Période 9 2001-2002</t>
  </si>
  <si>
    <t>Périodes 1 à 9 2001-2002</t>
  </si>
  <si>
    <t>Pour la période 9, se terminant le 14 décembre 2002</t>
  </si>
  <si>
    <t>Pour la période 10, se terminant le 11 janvier 2003</t>
  </si>
  <si>
    <t>Cumul 02-03 vs 01-02</t>
  </si>
  <si>
    <t>Cumul 01-02 vs 02-03</t>
  </si>
  <si>
    <t>Cumulatif 01-02 vs 02-03</t>
  </si>
  <si>
    <t>Pour la période 11, se terminant le 8 février 2003</t>
  </si>
  <si>
    <t>Pour la période 12, se terminant le 8 mars 2003</t>
  </si>
  <si>
    <t>Pour la période #13, se terminant le 31 mars 2003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</si>
</sst>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#,##0\ &quot;$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"/>
  </numFmts>
  <fonts count="42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0061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8"/>
        <bgColor indexed="26"/>
      </patternFill>
    </fill>
    <fill>
      <patternFill patternType="solid">
        <fgColor indexed="47"/>
        <bgColor indexed="64"/>
      </patternFill>
    </fill>
    <fill>
      <patternFill patternType="mediumGray">
        <fgColor indexed="8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 horizontal="right"/>
    </xf>
    <xf numFmtId="0" fontId="1" fillId="0" borderId="22" xfId="0" applyFont="1" applyBorder="1" applyAlignment="1">
      <alignment/>
    </xf>
    <xf numFmtId="164" fontId="1" fillId="0" borderId="23" xfId="5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34" borderId="26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9" fontId="1" fillId="34" borderId="26" xfId="50" applyFont="1" applyFill="1" applyBorder="1" applyAlignment="1">
      <alignment/>
    </xf>
    <xf numFmtId="9" fontId="1" fillId="34" borderId="20" xfId="50" applyFont="1" applyFill="1" applyBorder="1" applyAlignment="1">
      <alignment/>
    </xf>
    <xf numFmtId="0" fontId="1" fillId="0" borderId="27" xfId="0" applyFont="1" applyBorder="1" applyAlignment="1">
      <alignment/>
    </xf>
    <xf numFmtId="164" fontId="1" fillId="0" borderId="23" xfId="50" applyNumberFormat="1" applyFont="1" applyBorder="1" applyAlignment="1" quotePrefix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9" fontId="1" fillId="34" borderId="27" xfId="5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33" borderId="30" xfId="0" applyFont="1" applyFill="1" applyBorder="1" applyAlignment="1">
      <alignment horizontal="right"/>
    </xf>
    <xf numFmtId="0" fontId="1" fillId="0" borderId="31" xfId="0" applyFont="1" applyBorder="1" applyAlignment="1">
      <alignment/>
    </xf>
    <xf numFmtId="164" fontId="1" fillId="0" borderId="32" xfId="50" applyNumberFormat="1" applyFont="1" applyBorder="1" applyAlignment="1">
      <alignment/>
    </xf>
    <xf numFmtId="0" fontId="1" fillId="0" borderId="33" xfId="0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9" fontId="1" fillId="34" borderId="34" xfId="50" applyFont="1" applyFill="1" applyBorder="1" applyAlignment="1">
      <alignment/>
    </xf>
    <xf numFmtId="0" fontId="1" fillId="0" borderId="29" xfId="0" applyFont="1" applyBorder="1" applyAlignment="1">
      <alignment/>
    </xf>
    <xf numFmtId="9" fontId="1" fillId="34" borderId="29" xfId="5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9" xfId="0" applyFont="1" applyFill="1" applyBorder="1" applyAlignment="1">
      <alignment/>
    </xf>
    <xf numFmtId="164" fontId="1" fillId="0" borderId="19" xfId="5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1" fillId="0" borderId="19" xfId="5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9" fontId="1" fillId="0" borderId="10" xfId="50" applyFont="1" applyBorder="1" applyAlignment="1">
      <alignment/>
    </xf>
    <xf numFmtId="0" fontId="1" fillId="0" borderId="19" xfId="0" applyFont="1" applyBorder="1" applyAlignment="1">
      <alignment/>
    </xf>
    <xf numFmtId="9" fontId="1" fillId="34" borderId="19" xfId="5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3" xfId="0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16" xfId="0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64" fontId="1" fillId="33" borderId="19" xfId="5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164" fontId="1" fillId="0" borderId="0" xfId="5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9" fontId="0" fillId="0" borderId="27" xfId="50" applyFont="1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9" fontId="0" fillId="0" borderId="37" xfId="50" applyFont="1" applyBorder="1" applyAlignment="1">
      <alignment/>
    </xf>
    <xf numFmtId="0" fontId="0" fillId="0" borderId="17" xfId="0" applyBorder="1" applyAlignment="1">
      <alignment/>
    </xf>
    <xf numFmtId="9" fontId="0" fillId="0" borderId="0" xfId="50" applyFont="1" applyBorder="1" applyAlignment="1">
      <alignment/>
    </xf>
    <xf numFmtId="9" fontId="0" fillId="0" borderId="17" xfId="50" applyFont="1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9" fontId="0" fillId="0" borderId="38" xfId="50" applyFont="1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9" fontId="0" fillId="0" borderId="19" xfId="50" applyFont="1" applyBorder="1" applyAlignment="1">
      <alignment/>
    </xf>
    <xf numFmtId="1" fontId="0" fillId="0" borderId="27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9" fontId="0" fillId="0" borderId="40" xfId="50" applyFont="1" applyBorder="1" applyAlignment="1">
      <alignment/>
    </xf>
    <xf numFmtId="9" fontId="0" fillId="0" borderId="41" xfId="50" applyFont="1" applyBorder="1" applyAlignment="1">
      <alignment/>
    </xf>
    <xf numFmtId="9" fontId="0" fillId="0" borderId="0" xfId="50" applyFont="1" applyAlignment="1">
      <alignment/>
    </xf>
    <xf numFmtId="2" fontId="0" fillId="0" borderId="3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42" xfId="0" applyNumberFormat="1" applyBorder="1" applyAlignment="1">
      <alignment/>
    </xf>
    <xf numFmtId="9" fontId="0" fillId="0" borderId="20" xfId="50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16" xfId="50" applyFont="1" applyBorder="1" applyAlignment="1">
      <alignment/>
    </xf>
    <xf numFmtId="2" fontId="0" fillId="0" borderId="33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43" xfId="0" applyNumberFormat="1" applyBorder="1" applyAlignment="1">
      <alignment/>
    </xf>
    <xf numFmtId="9" fontId="0" fillId="0" borderId="29" xfId="50" applyFont="1" applyBorder="1" applyAlignment="1">
      <alignment/>
    </xf>
    <xf numFmtId="9" fontId="1" fillId="34" borderId="18" xfId="50" applyFont="1" applyFill="1" applyBorder="1" applyAlignment="1">
      <alignment/>
    </xf>
    <xf numFmtId="1" fontId="1" fillId="34" borderId="18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44" xfId="0" applyBorder="1" applyAlignment="1">
      <alignment/>
    </xf>
    <xf numFmtId="9" fontId="0" fillId="0" borderId="12" xfId="50" applyFont="1" applyBorder="1" applyAlignment="1">
      <alignment/>
    </xf>
    <xf numFmtId="9" fontId="0" fillId="0" borderId="13" xfId="50" applyFont="1" applyBorder="1" applyAlignment="1">
      <alignment/>
    </xf>
    <xf numFmtId="0" fontId="0" fillId="0" borderId="38" xfId="0" applyBorder="1" applyAlignment="1">
      <alignment/>
    </xf>
    <xf numFmtId="9" fontId="0" fillId="0" borderId="18" xfId="50" applyFont="1" applyBorder="1" applyAlignment="1">
      <alignment/>
    </xf>
    <xf numFmtId="9" fontId="0" fillId="0" borderId="15" xfId="50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27" xfId="0" applyFill="1" applyBorder="1" applyAlignment="1">
      <alignment/>
    </xf>
    <xf numFmtId="0" fontId="1" fillId="36" borderId="45" xfId="0" applyFont="1" applyFill="1" applyBorder="1" applyAlignment="1">
      <alignment/>
    </xf>
    <xf numFmtId="0" fontId="0" fillId="36" borderId="46" xfId="0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46" xfId="0" applyFont="1" applyFill="1" applyBorder="1" applyAlignment="1">
      <alignment/>
    </xf>
    <xf numFmtId="0" fontId="0" fillId="36" borderId="27" xfId="0" applyFill="1" applyBorder="1" applyAlignment="1">
      <alignment/>
    </xf>
    <xf numFmtId="0" fontId="1" fillId="34" borderId="27" xfId="0" applyFont="1" applyFill="1" applyBorder="1" applyAlignment="1">
      <alignment/>
    </xf>
    <xf numFmtId="9" fontId="0" fillId="34" borderId="47" xfId="5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0" borderId="48" xfId="0" applyBorder="1" applyAlignment="1">
      <alignment/>
    </xf>
    <xf numFmtId="0" fontId="1" fillId="36" borderId="32" xfId="0" applyFont="1" applyFill="1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1" xfId="0" applyFont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52" xfId="0" applyFont="1" applyBorder="1" applyAlignment="1">
      <alignment/>
    </xf>
    <xf numFmtId="0" fontId="1" fillId="34" borderId="17" xfId="0" applyFont="1" applyFill="1" applyBorder="1" applyAlignment="1">
      <alignment horizontal="centerContinuous"/>
    </xf>
    <xf numFmtId="0" fontId="1" fillId="33" borderId="53" xfId="0" applyFont="1" applyFill="1" applyBorder="1" applyAlignment="1">
      <alignment/>
    </xf>
    <xf numFmtId="164" fontId="1" fillId="0" borderId="54" xfId="50" applyNumberFormat="1" applyFont="1" applyFill="1" applyBorder="1" applyAlignment="1">
      <alignment/>
    </xf>
    <xf numFmtId="164" fontId="1" fillId="0" borderId="48" xfId="50" applyNumberFormat="1" applyFont="1" applyFill="1" applyBorder="1" applyAlignment="1">
      <alignment/>
    </xf>
    <xf numFmtId="164" fontId="1" fillId="0" borderId="30" xfId="50" applyNumberFormat="1" applyFont="1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53" xfId="0" applyFont="1" applyBorder="1" applyAlignment="1">
      <alignment horizontal="centerContinuous"/>
    </xf>
    <xf numFmtId="0" fontId="0" fillId="0" borderId="53" xfId="0" applyBorder="1" applyAlignment="1">
      <alignment/>
    </xf>
    <xf numFmtId="16" fontId="1" fillId="0" borderId="17" xfId="0" applyNumberFormat="1" applyFont="1" applyBorder="1" applyAlignment="1" quotePrefix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45" xfId="0" applyFont="1" applyBorder="1" applyAlignment="1">
      <alignment/>
    </xf>
    <xf numFmtId="16" fontId="1" fillId="0" borderId="19" xfId="0" applyNumberFormat="1" applyFont="1" applyBorder="1" applyAlignment="1" quotePrefix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27" xfId="0" applyNumberFormat="1" applyFont="1" applyBorder="1" applyAlignment="1">
      <alignment/>
    </xf>
    <xf numFmtId="16" fontId="1" fillId="34" borderId="18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0" borderId="60" xfId="0" applyFont="1" applyBorder="1" applyAlignment="1">
      <alignment horizontal="centerContinuous"/>
    </xf>
    <xf numFmtId="0" fontId="1" fillId="0" borderId="6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7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9" fontId="4" fillId="0" borderId="12" xfId="50" applyFont="1" applyBorder="1" applyAlignment="1">
      <alignment/>
    </xf>
    <xf numFmtId="9" fontId="4" fillId="37" borderId="12" xfId="50" applyFont="1" applyFill="1" applyBorder="1" applyAlignment="1">
      <alignment/>
    </xf>
    <xf numFmtId="9" fontId="4" fillId="0" borderId="13" xfId="50" applyFont="1" applyBorder="1" applyAlignment="1">
      <alignment/>
    </xf>
    <xf numFmtId="0" fontId="4" fillId="37" borderId="0" xfId="0" applyFont="1" applyFill="1" applyAlignment="1">
      <alignment/>
    </xf>
    <xf numFmtId="1" fontId="4" fillId="0" borderId="12" xfId="0" applyNumberFormat="1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9" fontId="4" fillId="0" borderId="17" xfId="50" applyFont="1" applyBorder="1" applyAlignment="1">
      <alignment/>
    </xf>
    <xf numFmtId="9" fontId="4" fillId="37" borderId="17" xfId="50" applyFont="1" applyFill="1" applyBorder="1" applyAlignment="1">
      <alignment/>
    </xf>
    <xf numFmtId="1" fontId="4" fillId="0" borderId="18" xfId="0" applyNumberFormat="1" applyFont="1" applyBorder="1" applyAlignment="1">
      <alignment horizontal="right"/>
    </xf>
    <xf numFmtId="9" fontId="4" fillId="0" borderId="16" xfId="50" applyFont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7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4" fillId="0" borderId="19" xfId="0" applyNumberFormat="1" applyFont="1" applyBorder="1" applyAlignment="1">
      <alignment/>
    </xf>
    <xf numFmtId="9" fontId="4" fillId="0" borderId="19" xfId="50" applyFont="1" applyBorder="1" applyAlignment="1">
      <alignment/>
    </xf>
    <xf numFmtId="9" fontId="4" fillId="37" borderId="19" xfId="5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8" xfId="0" applyFont="1" applyFill="1" applyBorder="1" applyAlignment="1">
      <alignment/>
    </xf>
    <xf numFmtId="1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9" fontId="4" fillId="0" borderId="18" xfId="50" applyFont="1" applyBorder="1" applyAlignment="1">
      <alignment/>
    </xf>
    <xf numFmtId="0" fontId="4" fillId="0" borderId="14" xfId="0" applyFont="1" applyBorder="1" applyAlignment="1">
      <alignment/>
    </xf>
    <xf numFmtId="9" fontId="4" fillId="0" borderId="15" xfId="50" applyFont="1" applyBorder="1" applyAlignment="1">
      <alignment/>
    </xf>
    <xf numFmtId="0" fontId="4" fillId="0" borderId="19" xfId="0" applyFont="1" applyBorder="1" applyAlignment="1">
      <alignment/>
    </xf>
    <xf numFmtId="9" fontId="4" fillId="0" borderId="53" xfId="50" applyFont="1" applyBorder="1" applyAlignment="1">
      <alignment/>
    </xf>
    <xf numFmtId="2" fontId="4" fillId="37" borderId="12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9" fontId="4" fillId="0" borderId="12" xfId="50" applyFont="1" applyFill="1" applyBorder="1" applyAlignment="1">
      <alignment/>
    </xf>
    <xf numFmtId="2" fontId="4" fillId="37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9" fontId="4" fillId="0" borderId="17" xfId="50" applyFont="1" applyFill="1" applyBorder="1" applyAlignment="1">
      <alignment/>
    </xf>
    <xf numFmtId="2" fontId="4" fillId="0" borderId="18" xfId="0" applyNumberFormat="1" applyFont="1" applyBorder="1" applyAlignment="1">
      <alignment/>
    </xf>
    <xf numFmtId="2" fontId="4" fillId="37" borderId="19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9" fontId="4" fillId="0" borderId="19" xfId="50" applyFont="1" applyFill="1" applyBorder="1" applyAlignment="1">
      <alignment/>
    </xf>
    <xf numFmtId="2" fontId="4" fillId="37" borderId="18" xfId="0" applyNumberFormat="1" applyFont="1" applyFill="1" applyBorder="1" applyAlignment="1">
      <alignment/>
    </xf>
    <xf numFmtId="0" fontId="4" fillId="37" borderId="18" xfId="0" applyFont="1" applyFill="1" applyBorder="1" applyAlignment="1">
      <alignment/>
    </xf>
    <xf numFmtId="9" fontId="4" fillId="37" borderId="18" xfId="5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9" fontId="4" fillId="0" borderId="18" xfId="50" applyFont="1" applyFill="1" applyBorder="1" applyAlignment="1">
      <alignment/>
    </xf>
    <xf numFmtId="0" fontId="4" fillId="0" borderId="0" xfId="0" applyFont="1" applyFill="1" applyAlignment="1">
      <alignment/>
    </xf>
    <xf numFmtId="9" fontId="4" fillId="0" borderId="0" xfId="5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16" fontId="3" fillId="36" borderId="14" xfId="0" applyNumberFormat="1" applyFont="1" applyFill="1" applyBorder="1" applyAlignment="1" quotePrefix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36" borderId="0" xfId="0" applyFont="1" applyFill="1" applyAlignment="1">
      <alignment/>
    </xf>
    <xf numFmtId="0" fontId="5" fillId="36" borderId="19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36" borderId="38" xfId="0" applyFont="1" applyFill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9" fontId="4" fillId="37" borderId="25" xfId="50" applyFont="1" applyFill="1" applyBorder="1" applyAlignment="1">
      <alignment/>
    </xf>
    <xf numFmtId="9" fontId="4" fillId="37" borderId="34" xfId="50" applyFont="1" applyFill="1" applyBorder="1" applyAlignment="1">
      <alignment/>
    </xf>
    <xf numFmtId="1" fontId="4" fillId="0" borderId="13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37" borderId="25" xfId="0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16" fontId="3" fillId="36" borderId="34" xfId="0" applyNumberFormat="1" applyFont="1" applyFill="1" applyBorder="1" applyAlignment="1" quotePrefix="1">
      <alignment horizontal="center"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36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25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15" fontId="1" fillId="0" borderId="0" xfId="0" applyNumberFormat="1" applyFont="1" applyAlignment="1">
      <alignment/>
    </xf>
    <xf numFmtId="16" fontId="1" fillId="36" borderId="12" xfId="0" applyNumberFormat="1" applyFont="1" applyFill="1" applyBorder="1" applyAlignment="1" quotePrefix="1">
      <alignment horizontal="center"/>
    </xf>
    <xf numFmtId="0" fontId="0" fillId="0" borderId="19" xfId="0" applyBorder="1" applyAlignment="1">
      <alignment/>
    </xf>
    <xf numFmtId="1" fontId="0" fillId="0" borderId="53" xfId="0" applyNumberFormat="1" applyBorder="1" applyAlignment="1">
      <alignment/>
    </xf>
    <xf numFmtId="0" fontId="0" fillId="0" borderId="15" xfId="0" applyBorder="1" applyAlignment="1">
      <alignment/>
    </xf>
    <xf numFmtId="9" fontId="0" fillId="0" borderId="11" xfId="50" applyFont="1" applyBorder="1" applyAlignment="1">
      <alignment/>
    </xf>
    <xf numFmtId="9" fontId="0" fillId="0" borderId="53" xfId="50" applyFont="1" applyBorder="1" applyAlignment="1">
      <alignment/>
    </xf>
    <xf numFmtId="0" fontId="0" fillId="0" borderId="15" xfId="0" applyBorder="1" applyAlignment="1">
      <alignment/>
    </xf>
    <xf numFmtId="0" fontId="2" fillId="36" borderId="18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6" borderId="53" xfId="0" applyFont="1" applyFill="1" applyBorder="1" applyAlignment="1">
      <alignment horizontal="left"/>
    </xf>
    <xf numFmtId="0" fontId="1" fillId="36" borderId="18" xfId="0" applyFont="1" applyFill="1" applyBorder="1" applyAlignment="1" quotePrefix="1">
      <alignment horizontal="center"/>
    </xf>
    <xf numFmtId="0" fontId="1" fillId="36" borderId="12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" fillId="36" borderId="11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36" borderId="25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15" xfId="0" applyFill="1" applyBorder="1" applyAlignment="1">
      <alignment/>
    </xf>
    <xf numFmtId="0" fontId="1" fillId="36" borderId="44" xfId="0" applyFont="1" applyFill="1" applyBorder="1" applyAlignment="1" quotePrefix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/>
    </xf>
    <xf numFmtId="9" fontId="0" fillId="0" borderId="25" xfId="50" applyFont="1" applyBorder="1" applyAlignment="1">
      <alignment/>
    </xf>
    <xf numFmtId="9" fontId="0" fillId="0" borderId="47" xfId="50" applyFont="1" applyBorder="1" applyAlignment="1">
      <alignment/>
    </xf>
    <xf numFmtId="9" fontId="0" fillId="0" borderId="14" xfId="50" applyFont="1" applyBorder="1" applyAlignment="1">
      <alignment/>
    </xf>
    <xf numFmtId="0" fontId="0" fillId="0" borderId="62" xfId="0" applyBorder="1" applyAlignment="1">
      <alignment/>
    </xf>
    <xf numFmtId="164" fontId="0" fillId="0" borderId="17" xfId="50" applyNumberFormat="1" applyFont="1" applyBorder="1" applyAlignment="1">
      <alignment/>
    </xf>
    <xf numFmtId="0" fontId="0" fillId="36" borderId="45" xfId="0" applyFill="1" applyBorder="1" applyAlignment="1">
      <alignment/>
    </xf>
    <xf numFmtId="0" fontId="0" fillId="0" borderId="63" xfId="0" applyBorder="1" applyAlignment="1">
      <alignment/>
    </xf>
    <xf numFmtId="164" fontId="1" fillId="0" borderId="0" xfId="50" applyNumberFormat="1" applyFont="1" applyBorder="1" applyAlignment="1">
      <alignment/>
    </xf>
    <xf numFmtId="164" fontId="0" fillId="0" borderId="0" xfId="50" applyNumberFormat="1" applyFont="1" applyBorder="1" applyAlignment="1">
      <alignment/>
    </xf>
    <xf numFmtId="1" fontId="0" fillId="0" borderId="0" xfId="50" applyNumberFormat="1" applyFont="1" applyBorder="1" applyAlignment="1">
      <alignment/>
    </xf>
    <xf numFmtId="0" fontId="0" fillId="0" borderId="16" xfId="0" applyBorder="1" applyAlignment="1">
      <alignment/>
    </xf>
    <xf numFmtId="0" fontId="0" fillId="36" borderId="24" xfId="0" applyFill="1" applyBorder="1" applyAlignment="1">
      <alignment/>
    </xf>
    <xf numFmtId="0" fontId="0" fillId="34" borderId="24" xfId="0" applyFill="1" applyBorder="1" applyAlignment="1">
      <alignment/>
    </xf>
    <xf numFmtId="0" fontId="1" fillId="36" borderId="41" xfId="0" applyFont="1" applyFill="1" applyBorder="1" applyAlignment="1">
      <alignment/>
    </xf>
    <xf numFmtId="0" fontId="1" fillId="36" borderId="64" xfId="0" applyFont="1" applyFill="1" applyBorder="1" applyAlignment="1">
      <alignment/>
    </xf>
    <xf numFmtId="0" fontId="1" fillId="36" borderId="65" xfId="0" applyFont="1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0" fillId="0" borderId="36" xfId="0" applyFill="1" applyBorder="1" applyAlignment="1">
      <alignment/>
    </xf>
    <xf numFmtId="16" fontId="1" fillId="36" borderId="18" xfId="0" applyNumberFormat="1" applyFont="1" applyFill="1" applyBorder="1" applyAlignment="1">
      <alignment horizontal="center"/>
    </xf>
    <xf numFmtId="16" fontId="1" fillId="36" borderId="12" xfId="0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16" fontId="1" fillId="36" borderId="44" xfId="0" applyNumberFormat="1" applyFont="1" applyFill="1" applyBorder="1" applyAlignment="1" quotePrefix="1">
      <alignment horizontal="center"/>
    </xf>
    <xf numFmtId="16" fontId="3" fillId="36" borderId="18" xfId="0" applyNumberFormat="1" applyFont="1" applyFill="1" applyBorder="1" applyAlignment="1" quotePrefix="1">
      <alignment horizontal="center"/>
    </xf>
    <xf numFmtId="16" fontId="3" fillId="36" borderId="17" xfId="0" applyNumberFormat="1" applyFont="1" applyFill="1" applyBorder="1" applyAlignment="1" quotePrefix="1">
      <alignment horizontal="center"/>
    </xf>
    <xf numFmtId="0" fontId="3" fillId="36" borderId="17" xfId="0" applyFont="1" applyFill="1" applyBorder="1" applyAlignment="1" quotePrefix="1">
      <alignment horizontal="center"/>
    </xf>
    <xf numFmtId="0" fontId="1" fillId="36" borderId="34" xfId="0" applyFont="1" applyFill="1" applyBorder="1" applyAlignment="1" quotePrefix="1">
      <alignment horizontal="center"/>
    </xf>
    <xf numFmtId="0" fontId="1" fillId="33" borderId="17" xfId="0" applyFont="1" applyFill="1" applyBorder="1" applyAlignment="1" quotePrefix="1">
      <alignment horizontal="centerContinuous"/>
    </xf>
    <xf numFmtId="0" fontId="1" fillId="34" borderId="64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9" fontId="4" fillId="0" borderId="0" xfId="50" applyFont="1" applyBorder="1" applyAlignment="1">
      <alignment/>
    </xf>
    <xf numFmtId="0" fontId="4" fillId="37" borderId="0" xfId="0" applyFont="1" applyFill="1" applyBorder="1" applyAlignment="1">
      <alignment/>
    </xf>
    <xf numFmtId="9" fontId="4" fillId="37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9" fontId="4" fillId="0" borderId="0" xfId="50" applyFont="1" applyFill="1" applyBorder="1" applyAlignment="1">
      <alignment/>
    </xf>
    <xf numFmtId="0" fontId="5" fillId="0" borderId="19" xfId="0" applyFont="1" applyBorder="1" applyAlignment="1">
      <alignment/>
    </xf>
    <xf numFmtId="1" fontId="4" fillId="0" borderId="18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36" borderId="17" xfId="0" applyFont="1" applyFill="1" applyBorder="1" applyAlignment="1">
      <alignment/>
    </xf>
    <xf numFmtId="0" fontId="5" fillId="0" borderId="44" xfId="0" applyFont="1" applyBorder="1" applyAlignment="1">
      <alignment/>
    </xf>
    <xf numFmtId="0" fontId="4" fillId="37" borderId="44" xfId="0" applyFont="1" applyFill="1" applyBorder="1" applyAlignment="1">
      <alignment/>
    </xf>
    <xf numFmtId="9" fontId="4" fillId="37" borderId="14" xfId="50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34" xfId="0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37" borderId="53" xfId="0" applyNumberFormat="1" applyFont="1" applyFill="1" applyBorder="1" applyAlignment="1">
      <alignment/>
    </xf>
    <xf numFmtId="1" fontId="4" fillId="0" borderId="19" xfId="0" applyNumberFormat="1" applyFont="1" applyBorder="1" applyAlignment="1">
      <alignment horizontal="right"/>
    </xf>
    <xf numFmtId="0" fontId="1" fillId="36" borderId="19" xfId="0" applyFont="1" applyFill="1" applyBorder="1" applyAlignment="1" quotePrefix="1">
      <alignment horizontal="center"/>
    </xf>
    <xf numFmtId="0" fontId="1" fillId="0" borderId="49" xfId="0" applyFont="1" applyBorder="1" applyAlignment="1">
      <alignment/>
    </xf>
    <xf numFmtId="0" fontId="1" fillId="0" borderId="66" xfId="0" applyFont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63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16" xfId="0" applyFont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9" fontId="0" fillId="0" borderId="34" xfId="50" applyFont="1" applyBorder="1" applyAlignment="1">
      <alignment/>
    </xf>
    <xf numFmtId="9" fontId="0" fillId="36" borderId="47" xfId="50" applyFont="1" applyFill="1" applyBorder="1" applyAlignment="1">
      <alignment/>
    </xf>
    <xf numFmtId="1" fontId="0" fillId="0" borderId="17" xfId="0" applyNumberFormat="1" applyBorder="1" applyAlignment="1">
      <alignment/>
    </xf>
    <xf numFmtId="1" fontId="0" fillId="34" borderId="27" xfId="0" applyNumberFormat="1" applyFill="1" applyBorder="1" applyAlignment="1">
      <alignment/>
    </xf>
    <xf numFmtId="1" fontId="0" fillId="36" borderId="29" xfId="0" applyNumberFormat="1" applyFill="1" applyBorder="1" applyAlignment="1">
      <alignment/>
    </xf>
    <xf numFmtId="1" fontId="0" fillId="0" borderId="34" xfId="0" applyNumberFormat="1" applyBorder="1" applyAlignment="1">
      <alignment/>
    </xf>
    <xf numFmtId="9" fontId="0" fillId="34" borderId="22" xfId="50" applyFont="1" applyFill="1" applyBorder="1" applyAlignment="1">
      <alignment/>
    </xf>
    <xf numFmtId="1" fontId="0" fillId="34" borderId="21" xfId="0" applyNumberFormat="1" applyFill="1" applyBorder="1" applyAlignment="1">
      <alignment/>
    </xf>
    <xf numFmtId="164" fontId="0" fillId="34" borderId="27" xfId="50" applyNumberFormat="1" applyFont="1" applyFill="1" applyBorder="1" applyAlignment="1">
      <alignment/>
    </xf>
    <xf numFmtId="1" fontId="0" fillId="36" borderId="27" xfId="0" applyNumberFormat="1" applyFill="1" applyBorder="1" applyAlignment="1">
      <alignment/>
    </xf>
    <xf numFmtId="164" fontId="0" fillId="36" borderId="27" xfId="50" applyNumberFormat="1" applyFont="1" applyFill="1" applyBorder="1" applyAlignment="1">
      <alignment/>
    </xf>
    <xf numFmtId="1" fontId="0" fillId="36" borderId="47" xfId="0" applyNumberFormat="1" applyFill="1" applyBorder="1" applyAlignment="1">
      <alignment/>
    </xf>
    <xf numFmtId="1" fontId="0" fillId="34" borderId="47" xfId="0" applyNumberForma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67" xfId="0" applyFont="1" applyFill="1" applyBorder="1" applyAlignment="1">
      <alignment/>
    </xf>
    <xf numFmtId="0" fontId="1" fillId="34" borderId="62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5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0" fontId="1" fillId="34" borderId="35" xfId="0" applyFont="1" applyFill="1" applyBorder="1" applyAlignment="1">
      <alignment wrapText="1"/>
    </xf>
    <xf numFmtId="0" fontId="1" fillId="34" borderId="26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53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45" xfId="0" applyBorder="1" applyAlignment="1">
      <alignment/>
    </xf>
    <xf numFmtId="0" fontId="0" fillId="34" borderId="58" xfId="0" applyFill="1" applyBorder="1" applyAlignment="1">
      <alignment/>
    </xf>
    <xf numFmtId="0" fontId="1" fillId="34" borderId="58" xfId="0" applyFont="1" applyFill="1" applyBorder="1" applyAlignment="1">
      <alignment/>
    </xf>
    <xf numFmtId="164" fontId="0" fillId="36" borderId="29" xfId="50" applyNumberFormat="1" applyFont="1" applyFill="1" applyBorder="1" applyAlignment="1">
      <alignment/>
    </xf>
    <xf numFmtId="1" fontId="0" fillId="36" borderId="43" xfId="0" applyNumberFormat="1" applyFill="1" applyBorder="1" applyAlignment="1">
      <alignment/>
    </xf>
    <xf numFmtId="0" fontId="0" fillId="0" borderId="64" xfId="0" applyBorder="1" applyAlignment="1">
      <alignment/>
    </xf>
    <xf numFmtId="0" fontId="1" fillId="34" borderId="65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68" xfId="0" applyBorder="1" applyAlignment="1">
      <alignment/>
    </xf>
    <xf numFmtId="10" fontId="1" fillId="0" borderId="44" xfId="50" applyNumberFormat="1" applyFont="1" applyBorder="1" applyAlignment="1">
      <alignment/>
    </xf>
    <xf numFmtId="0" fontId="0" fillId="0" borderId="45" xfId="0" applyFill="1" applyBorder="1" applyAlignment="1">
      <alignment/>
    </xf>
    <xf numFmtId="164" fontId="1" fillId="0" borderId="37" xfId="50" applyNumberFormat="1" applyFont="1" applyBorder="1" applyAlignment="1">
      <alignment/>
    </xf>
    <xf numFmtId="0" fontId="1" fillId="0" borderId="67" xfId="0" applyFont="1" applyBorder="1" applyAlignment="1">
      <alignment horizontal="center"/>
    </xf>
    <xf numFmtId="16" fontId="1" fillId="36" borderId="18" xfId="0" applyNumberFormat="1" applyFont="1" applyFill="1" applyBorder="1" applyAlignment="1" quotePrefix="1">
      <alignment horizontal="center"/>
    </xf>
    <xf numFmtId="0" fontId="3" fillId="36" borderId="1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right"/>
    </xf>
    <xf numFmtId="0" fontId="4" fillId="37" borderId="14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1" fillId="33" borderId="18" xfId="0" applyFont="1" applyFill="1" applyBorder="1" applyAlignment="1" quotePrefix="1">
      <alignment horizontal="center"/>
    </xf>
    <xf numFmtId="0" fontId="1" fillId="0" borderId="19" xfId="0" applyFont="1" applyFill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1" fillId="34" borderId="17" xfId="0" applyFont="1" applyFill="1" applyBorder="1" applyAlignment="1" quotePrefix="1">
      <alignment horizontal="center"/>
    </xf>
    <xf numFmtId="16" fontId="1" fillId="34" borderId="18" xfId="0" applyNumberFormat="1" applyFont="1" applyFill="1" applyBorder="1" applyAlignment="1">
      <alignment horizontal="center"/>
    </xf>
    <xf numFmtId="16" fontId="1" fillId="34" borderId="17" xfId="0" applyNumberFormat="1" applyFont="1" applyFill="1" applyBorder="1" applyAlignment="1" quotePrefix="1">
      <alignment horizontal="center"/>
    </xf>
    <xf numFmtId="1" fontId="1" fillId="0" borderId="27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19" xfId="0" applyNumberFormat="1" applyFont="1" applyFill="1" applyBorder="1" applyAlignment="1">
      <alignment/>
    </xf>
    <xf numFmtId="0" fontId="0" fillId="34" borderId="37" xfId="0" applyFill="1" applyBorder="1" applyAlignment="1">
      <alignment/>
    </xf>
    <xf numFmtId="0" fontId="1" fillId="34" borderId="20" xfId="0" applyFont="1" applyFill="1" applyBorder="1" applyAlignment="1">
      <alignment horizontal="center" wrapText="1"/>
    </xf>
    <xf numFmtId="1" fontId="0" fillId="0" borderId="16" xfId="0" applyNumberFormat="1" applyBorder="1" applyAlignment="1">
      <alignment/>
    </xf>
    <xf numFmtId="172" fontId="1" fillId="0" borderId="18" xfId="0" applyNumberFormat="1" applyFont="1" applyBorder="1" applyAlignment="1">
      <alignment/>
    </xf>
    <xf numFmtId="0" fontId="1" fillId="34" borderId="36" xfId="0" applyFont="1" applyFill="1" applyBorder="1" applyAlignment="1">
      <alignment/>
    </xf>
    <xf numFmtId="164" fontId="1" fillId="0" borderId="16" xfId="50" applyNumberFormat="1" applyFont="1" applyBorder="1" applyAlignment="1">
      <alignment/>
    </xf>
    <xf numFmtId="0" fontId="1" fillId="0" borderId="69" xfId="0" applyFont="1" applyFill="1" applyBorder="1" applyAlignment="1">
      <alignment/>
    </xf>
    <xf numFmtId="164" fontId="1" fillId="0" borderId="49" xfId="50" applyNumberFormat="1" applyFont="1" applyBorder="1" applyAlignment="1">
      <alignment/>
    </xf>
    <xf numFmtId="164" fontId="0" fillId="34" borderId="45" xfId="50" applyNumberFormat="1" applyFont="1" applyFill="1" applyBorder="1" applyAlignment="1">
      <alignment/>
    </xf>
    <xf numFmtId="0" fontId="1" fillId="34" borderId="47" xfId="0" applyFont="1" applyFill="1" applyBorder="1" applyAlignment="1">
      <alignment/>
    </xf>
    <xf numFmtId="164" fontId="1" fillId="34" borderId="45" xfId="50" applyNumberFormat="1" applyFont="1" applyFill="1" applyBorder="1" applyAlignment="1">
      <alignment/>
    </xf>
    <xf numFmtId="164" fontId="0" fillId="36" borderId="23" xfId="50" applyNumberFormat="1" applyFont="1" applyFill="1" applyBorder="1" applyAlignment="1">
      <alignment/>
    </xf>
    <xf numFmtId="164" fontId="0" fillId="34" borderId="23" xfId="50" applyNumberFormat="1" applyFont="1" applyFill="1" applyBorder="1" applyAlignment="1">
      <alignment/>
    </xf>
    <xf numFmtId="0" fontId="0" fillId="0" borderId="23" xfId="0" applyBorder="1" applyAlignment="1">
      <alignment/>
    </xf>
    <xf numFmtId="9" fontId="0" fillId="36" borderId="46" xfId="50" applyFont="1" applyFill="1" applyBorder="1" applyAlignment="1">
      <alignment/>
    </xf>
    <xf numFmtId="9" fontId="0" fillId="34" borderId="46" xfId="50" applyFont="1" applyFill="1" applyBorder="1" applyAlignment="1">
      <alignment/>
    </xf>
    <xf numFmtId="9" fontId="0" fillId="36" borderId="43" xfId="5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68" xfId="0" applyFont="1" applyBorder="1" applyAlignment="1">
      <alignment/>
    </xf>
    <xf numFmtId="0" fontId="1" fillId="34" borderId="70" xfId="0" applyFont="1" applyFill="1" applyBorder="1" applyAlignment="1">
      <alignment/>
    </xf>
    <xf numFmtId="16" fontId="1" fillId="0" borderId="15" xfId="0" applyNumberFormat="1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34" borderId="10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1" fillId="34" borderId="22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34" borderId="71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0" fillId="0" borderId="72" xfId="0" applyBorder="1" applyAlignment="1">
      <alignment/>
    </xf>
    <xf numFmtId="0" fontId="0" fillId="0" borderId="56" xfId="0" applyBorder="1" applyAlignment="1">
      <alignment/>
    </xf>
    <xf numFmtId="0" fontId="0" fillId="0" borderId="51" xfId="0" applyBorder="1" applyAlignment="1">
      <alignment/>
    </xf>
    <xf numFmtId="0" fontId="0" fillId="0" borderId="66" xfId="0" applyBorder="1" applyAlignment="1">
      <alignment/>
    </xf>
    <xf numFmtId="0" fontId="1" fillId="36" borderId="71" xfId="0" applyFont="1" applyFill="1" applyBorder="1" applyAlignment="1">
      <alignment/>
    </xf>
    <xf numFmtId="0" fontId="1" fillId="36" borderId="58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4" borderId="67" xfId="0" applyFont="1" applyFill="1" applyBorder="1" applyAlignment="1">
      <alignment horizontal="center"/>
    </xf>
    <xf numFmtId="0" fontId="1" fillId="34" borderId="46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0" borderId="62" xfId="0" applyFont="1" applyBorder="1" applyAlignment="1">
      <alignment/>
    </xf>
    <xf numFmtId="0" fontId="1" fillId="34" borderId="42" xfId="0" applyFont="1" applyFill="1" applyBorder="1" applyAlignment="1">
      <alignment wrapText="1"/>
    </xf>
    <xf numFmtId="0" fontId="1" fillId="36" borderId="17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164" fontId="1" fillId="0" borderId="73" xfId="50" applyNumberFormat="1" applyFont="1" applyBorder="1" applyAlignment="1">
      <alignment/>
    </xf>
    <xf numFmtId="164" fontId="0" fillId="0" borderId="16" xfId="50" applyNumberFormat="1" applyFon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6" borderId="10" xfId="0" applyFont="1" applyFill="1" applyBorder="1" applyAlignment="1" quotePrefix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10</xdr:col>
      <xdr:colOff>0</xdr:colOff>
      <xdr:row>17</xdr:row>
      <xdr:rowOff>0</xdr:rowOff>
    </xdr:to>
    <xdr:sp>
      <xdr:nvSpPr>
        <xdr:cNvPr id="1" name="Rectangle 5"/>
        <xdr:cNvSpPr>
          <a:spLocks/>
        </xdr:cNvSpPr>
      </xdr:nvSpPr>
      <xdr:spPr>
        <a:xfrm>
          <a:off x="54102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352925" y="1466850"/>
          <a:ext cx="1057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0</xdr:colOff>
      <xdr:row>17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733550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17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7335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17</xdr:row>
      <xdr:rowOff>0</xdr:rowOff>
    </xdr:to>
    <xdr:sp>
      <xdr:nvSpPr>
        <xdr:cNvPr id="5" name="Rectangle 9"/>
        <xdr:cNvSpPr>
          <a:spLocks/>
        </xdr:cNvSpPr>
      </xdr:nvSpPr>
      <xdr:spPr>
        <a:xfrm>
          <a:off x="5410200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17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4352925" y="1638300"/>
          <a:ext cx="1057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0</xdr:colOff>
      <xdr:row>17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1733550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17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1733550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0</xdr:colOff>
      <xdr:row>17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54102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4352925" y="1466850"/>
          <a:ext cx="1057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17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24098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17335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21</xdr:col>
      <xdr:colOff>0</xdr:colOff>
      <xdr:row>17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35159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682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17</xdr:col>
      <xdr:colOff>0</xdr:colOff>
      <xdr:row>17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9848850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17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98488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21</xdr:col>
      <xdr:colOff>0</xdr:colOff>
      <xdr:row>17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13515975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18</xdr:col>
      <xdr:colOff>0</xdr:colOff>
      <xdr:row>17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12468225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0</xdr:colOff>
      <xdr:row>17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9848850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17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9848850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21</xdr:col>
      <xdr:colOff>0</xdr:colOff>
      <xdr:row>17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135159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17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124682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17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105251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17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98488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32</xdr:col>
      <xdr:colOff>0</xdr:colOff>
      <xdr:row>17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2162175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17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2057400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28</xdr:col>
      <xdr:colOff>0</xdr:colOff>
      <xdr:row>17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17954625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17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179546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32</xdr:col>
      <xdr:colOff>0</xdr:colOff>
      <xdr:row>17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21621750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29</xdr:col>
      <xdr:colOff>0</xdr:colOff>
      <xdr:row>17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20574000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28</xdr:col>
      <xdr:colOff>0</xdr:colOff>
      <xdr:row>17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17954625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25</xdr:col>
      <xdr:colOff>0</xdr:colOff>
      <xdr:row>17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17954625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32</xdr:col>
      <xdr:colOff>0</xdr:colOff>
      <xdr:row>17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2162175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17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2057400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28</xdr:col>
      <xdr:colOff>0</xdr:colOff>
      <xdr:row>17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186309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17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179546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43</xdr:col>
      <xdr:colOff>0</xdr:colOff>
      <xdr:row>17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297275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0</xdr:rowOff>
    </xdr:from>
    <xdr:to>
      <xdr:col>40</xdr:col>
      <xdr:colOff>0</xdr:colOff>
      <xdr:row>17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2867977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39</xdr:col>
      <xdr:colOff>0</xdr:colOff>
      <xdr:row>17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26060400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36</xdr:col>
      <xdr:colOff>0</xdr:colOff>
      <xdr:row>17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2606040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43</xdr:col>
      <xdr:colOff>0</xdr:colOff>
      <xdr:row>17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29727525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0</xdr:rowOff>
    </xdr:from>
    <xdr:to>
      <xdr:col>40</xdr:col>
      <xdr:colOff>0</xdr:colOff>
      <xdr:row>17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28679775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39</xdr:col>
      <xdr:colOff>0</xdr:colOff>
      <xdr:row>17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26060400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17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26060400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43</xdr:col>
      <xdr:colOff>0</xdr:colOff>
      <xdr:row>17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297275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0</xdr:rowOff>
    </xdr:from>
    <xdr:to>
      <xdr:col>40</xdr:col>
      <xdr:colOff>0</xdr:colOff>
      <xdr:row>17</xdr:row>
      <xdr:rowOff>0</xdr:rowOff>
    </xdr:to>
    <xdr:sp>
      <xdr:nvSpPr>
        <xdr:cNvPr id="46" name="Rectangle 50"/>
        <xdr:cNvSpPr>
          <a:spLocks/>
        </xdr:cNvSpPr>
      </xdr:nvSpPr>
      <xdr:spPr>
        <a:xfrm>
          <a:off x="2867977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9</xdr:row>
      <xdr:rowOff>0</xdr:rowOff>
    </xdr:from>
    <xdr:to>
      <xdr:col>39</xdr:col>
      <xdr:colOff>0</xdr:colOff>
      <xdr:row>17</xdr:row>
      <xdr:rowOff>0</xdr:rowOff>
    </xdr:to>
    <xdr:sp>
      <xdr:nvSpPr>
        <xdr:cNvPr id="47" name="Rectangle 51"/>
        <xdr:cNvSpPr>
          <a:spLocks/>
        </xdr:cNvSpPr>
      </xdr:nvSpPr>
      <xdr:spPr>
        <a:xfrm>
          <a:off x="267366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36</xdr:col>
      <xdr:colOff>0</xdr:colOff>
      <xdr:row>17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2606040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54</xdr:col>
      <xdr:colOff>0</xdr:colOff>
      <xdr:row>17</xdr:row>
      <xdr:rowOff>0</xdr:rowOff>
    </xdr:to>
    <xdr:sp>
      <xdr:nvSpPr>
        <xdr:cNvPr id="49" name="Rectangle 53"/>
        <xdr:cNvSpPr>
          <a:spLocks/>
        </xdr:cNvSpPr>
      </xdr:nvSpPr>
      <xdr:spPr>
        <a:xfrm>
          <a:off x="378333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51</xdr:col>
      <xdr:colOff>0</xdr:colOff>
      <xdr:row>17</xdr:row>
      <xdr:rowOff>0</xdr:rowOff>
    </xdr:to>
    <xdr:sp>
      <xdr:nvSpPr>
        <xdr:cNvPr id="50" name="Rectangle 54"/>
        <xdr:cNvSpPr>
          <a:spLocks/>
        </xdr:cNvSpPr>
      </xdr:nvSpPr>
      <xdr:spPr>
        <a:xfrm>
          <a:off x="3678555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50</xdr:col>
      <xdr:colOff>0</xdr:colOff>
      <xdr:row>17</xdr:row>
      <xdr:rowOff>0</xdr:rowOff>
    </xdr:to>
    <xdr:sp>
      <xdr:nvSpPr>
        <xdr:cNvPr id="51" name="Rectangle 55"/>
        <xdr:cNvSpPr>
          <a:spLocks/>
        </xdr:cNvSpPr>
      </xdr:nvSpPr>
      <xdr:spPr>
        <a:xfrm>
          <a:off x="34166175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47</xdr:col>
      <xdr:colOff>0</xdr:colOff>
      <xdr:row>17</xdr:row>
      <xdr:rowOff>0</xdr:rowOff>
    </xdr:to>
    <xdr:sp>
      <xdr:nvSpPr>
        <xdr:cNvPr id="52" name="Rectangle 56"/>
        <xdr:cNvSpPr>
          <a:spLocks/>
        </xdr:cNvSpPr>
      </xdr:nvSpPr>
      <xdr:spPr>
        <a:xfrm>
          <a:off x="3416617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0</xdr:rowOff>
    </xdr:from>
    <xdr:to>
      <xdr:col>54</xdr:col>
      <xdr:colOff>0</xdr:colOff>
      <xdr:row>17</xdr:row>
      <xdr:rowOff>0</xdr:rowOff>
    </xdr:to>
    <xdr:sp>
      <xdr:nvSpPr>
        <xdr:cNvPr id="53" name="Rectangle 57"/>
        <xdr:cNvSpPr>
          <a:spLocks/>
        </xdr:cNvSpPr>
      </xdr:nvSpPr>
      <xdr:spPr>
        <a:xfrm>
          <a:off x="37833300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10</xdr:row>
      <xdr:rowOff>0</xdr:rowOff>
    </xdr:from>
    <xdr:to>
      <xdr:col>51</xdr:col>
      <xdr:colOff>0</xdr:colOff>
      <xdr:row>17</xdr:row>
      <xdr:rowOff>0</xdr:rowOff>
    </xdr:to>
    <xdr:sp>
      <xdr:nvSpPr>
        <xdr:cNvPr id="54" name="Rectangle 58"/>
        <xdr:cNvSpPr>
          <a:spLocks/>
        </xdr:cNvSpPr>
      </xdr:nvSpPr>
      <xdr:spPr>
        <a:xfrm>
          <a:off x="36785550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0</xdr:rowOff>
    </xdr:from>
    <xdr:to>
      <xdr:col>50</xdr:col>
      <xdr:colOff>0</xdr:colOff>
      <xdr:row>17</xdr:row>
      <xdr:rowOff>0</xdr:rowOff>
    </xdr:to>
    <xdr:sp>
      <xdr:nvSpPr>
        <xdr:cNvPr id="55" name="Rectangle 59"/>
        <xdr:cNvSpPr>
          <a:spLocks/>
        </xdr:cNvSpPr>
      </xdr:nvSpPr>
      <xdr:spPr>
        <a:xfrm>
          <a:off x="34166175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0</xdr:rowOff>
    </xdr:from>
    <xdr:to>
      <xdr:col>47</xdr:col>
      <xdr:colOff>0</xdr:colOff>
      <xdr:row>17</xdr:row>
      <xdr:rowOff>0</xdr:rowOff>
    </xdr:to>
    <xdr:sp>
      <xdr:nvSpPr>
        <xdr:cNvPr id="56" name="Rectangle 60"/>
        <xdr:cNvSpPr>
          <a:spLocks/>
        </xdr:cNvSpPr>
      </xdr:nvSpPr>
      <xdr:spPr>
        <a:xfrm>
          <a:off x="34166175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54</xdr:col>
      <xdr:colOff>0</xdr:colOff>
      <xdr:row>17</xdr:row>
      <xdr:rowOff>0</xdr:rowOff>
    </xdr:to>
    <xdr:sp>
      <xdr:nvSpPr>
        <xdr:cNvPr id="57" name="Rectangle 61"/>
        <xdr:cNvSpPr>
          <a:spLocks/>
        </xdr:cNvSpPr>
      </xdr:nvSpPr>
      <xdr:spPr>
        <a:xfrm>
          <a:off x="378333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51</xdr:col>
      <xdr:colOff>0</xdr:colOff>
      <xdr:row>17</xdr:row>
      <xdr:rowOff>0</xdr:rowOff>
    </xdr:to>
    <xdr:sp>
      <xdr:nvSpPr>
        <xdr:cNvPr id="58" name="Rectangle 62"/>
        <xdr:cNvSpPr>
          <a:spLocks/>
        </xdr:cNvSpPr>
      </xdr:nvSpPr>
      <xdr:spPr>
        <a:xfrm>
          <a:off x="3678555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50</xdr:col>
      <xdr:colOff>0</xdr:colOff>
      <xdr:row>17</xdr:row>
      <xdr:rowOff>0</xdr:rowOff>
    </xdr:to>
    <xdr:sp>
      <xdr:nvSpPr>
        <xdr:cNvPr id="59" name="Rectangle 63"/>
        <xdr:cNvSpPr>
          <a:spLocks/>
        </xdr:cNvSpPr>
      </xdr:nvSpPr>
      <xdr:spPr>
        <a:xfrm>
          <a:off x="3484245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47</xdr:col>
      <xdr:colOff>0</xdr:colOff>
      <xdr:row>17</xdr:row>
      <xdr:rowOff>0</xdr:rowOff>
    </xdr:to>
    <xdr:sp>
      <xdr:nvSpPr>
        <xdr:cNvPr id="60" name="Rectangle 64"/>
        <xdr:cNvSpPr>
          <a:spLocks/>
        </xdr:cNvSpPr>
      </xdr:nvSpPr>
      <xdr:spPr>
        <a:xfrm>
          <a:off x="3416617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65</xdr:col>
      <xdr:colOff>0</xdr:colOff>
      <xdr:row>17</xdr:row>
      <xdr:rowOff>0</xdr:rowOff>
    </xdr:to>
    <xdr:sp>
      <xdr:nvSpPr>
        <xdr:cNvPr id="61" name="Rectangle 65"/>
        <xdr:cNvSpPr>
          <a:spLocks/>
        </xdr:cNvSpPr>
      </xdr:nvSpPr>
      <xdr:spPr>
        <a:xfrm>
          <a:off x="459390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62</xdr:col>
      <xdr:colOff>0</xdr:colOff>
      <xdr:row>17</xdr:row>
      <xdr:rowOff>0</xdr:rowOff>
    </xdr:to>
    <xdr:sp>
      <xdr:nvSpPr>
        <xdr:cNvPr id="62" name="Rectangle 66"/>
        <xdr:cNvSpPr>
          <a:spLocks/>
        </xdr:cNvSpPr>
      </xdr:nvSpPr>
      <xdr:spPr>
        <a:xfrm>
          <a:off x="448913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0</xdr:rowOff>
    </xdr:from>
    <xdr:to>
      <xdr:col>61</xdr:col>
      <xdr:colOff>0</xdr:colOff>
      <xdr:row>17</xdr:row>
      <xdr:rowOff>0</xdr:rowOff>
    </xdr:to>
    <xdr:sp>
      <xdr:nvSpPr>
        <xdr:cNvPr id="63" name="Rectangle 67"/>
        <xdr:cNvSpPr>
          <a:spLocks/>
        </xdr:cNvSpPr>
      </xdr:nvSpPr>
      <xdr:spPr>
        <a:xfrm>
          <a:off x="42271950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0</xdr:rowOff>
    </xdr:from>
    <xdr:to>
      <xdr:col>58</xdr:col>
      <xdr:colOff>0</xdr:colOff>
      <xdr:row>17</xdr:row>
      <xdr:rowOff>0</xdr:rowOff>
    </xdr:to>
    <xdr:sp>
      <xdr:nvSpPr>
        <xdr:cNvPr id="64" name="Rectangle 68"/>
        <xdr:cNvSpPr>
          <a:spLocks/>
        </xdr:cNvSpPr>
      </xdr:nvSpPr>
      <xdr:spPr>
        <a:xfrm>
          <a:off x="422719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65</xdr:col>
      <xdr:colOff>0</xdr:colOff>
      <xdr:row>17</xdr:row>
      <xdr:rowOff>0</xdr:rowOff>
    </xdr:to>
    <xdr:sp>
      <xdr:nvSpPr>
        <xdr:cNvPr id="65" name="Rectangle 69"/>
        <xdr:cNvSpPr>
          <a:spLocks/>
        </xdr:cNvSpPr>
      </xdr:nvSpPr>
      <xdr:spPr>
        <a:xfrm>
          <a:off x="45939075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62</xdr:col>
      <xdr:colOff>0</xdr:colOff>
      <xdr:row>17</xdr:row>
      <xdr:rowOff>0</xdr:rowOff>
    </xdr:to>
    <xdr:sp>
      <xdr:nvSpPr>
        <xdr:cNvPr id="66" name="Rectangle 70"/>
        <xdr:cNvSpPr>
          <a:spLocks/>
        </xdr:cNvSpPr>
      </xdr:nvSpPr>
      <xdr:spPr>
        <a:xfrm>
          <a:off x="44891325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</xdr:row>
      <xdr:rowOff>0</xdr:rowOff>
    </xdr:from>
    <xdr:to>
      <xdr:col>61</xdr:col>
      <xdr:colOff>0</xdr:colOff>
      <xdr:row>17</xdr:row>
      <xdr:rowOff>0</xdr:rowOff>
    </xdr:to>
    <xdr:sp>
      <xdr:nvSpPr>
        <xdr:cNvPr id="67" name="Rectangle 71"/>
        <xdr:cNvSpPr>
          <a:spLocks/>
        </xdr:cNvSpPr>
      </xdr:nvSpPr>
      <xdr:spPr>
        <a:xfrm>
          <a:off x="42271950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</xdr:row>
      <xdr:rowOff>0</xdr:rowOff>
    </xdr:from>
    <xdr:to>
      <xdr:col>58</xdr:col>
      <xdr:colOff>0</xdr:colOff>
      <xdr:row>17</xdr:row>
      <xdr:rowOff>0</xdr:rowOff>
    </xdr:to>
    <xdr:sp>
      <xdr:nvSpPr>
        <xdr:cNvPr id="68" name="Rectangle 72"/>
        <xdr:cNvSpPr>
          <a:spLocks/>
        </xdr:cNvSpPr>
      </xdr:nvSpPr>
      <xdr:spPr>
        <a:xfrm>
          <a:off x="42271950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65</xdr:col>
      <xdr:colOff>0</xdr:colOff>
      <xdr:row>17</xdr:row>
      <xdr:rowOff>0</xdr:rowOff>
    </xdr:to>
    <xdr:sp>
      <xdr:nvSpPr>
        <xdr:cNvPr id="69" name="Rectangle 73"/>
        <xdr:cNvSpPr>
          <a:spLocks/>
        </xdr:cNvSpPr>
      </xdr:nvSpPr>
      <xdr:spPr>
        <a:xfrm>
          <a:off x="459390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62</xdr:col>
      <xdr:colOff>0</xdr:colOff>
      <xdr:row>17</xdr:row>
      <xdr:rowOff>0</xdr:rowOff>
    </xdr:to>
    <xdr:sp>
      <xdr:nvSpPr>
        <xdr:cNvPr id="70" name="Rectangle 74"/>
        <xdr:cNvSpPr>
          <a:spLocks/>
        </xdr:cNvSpPr>
      </xdr:nvSpPr>
      <xdr:spPr>
        <a:xfrm>
          <a:off x="448913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9</xdr:row>
      <xdr:rowOff>0</xdr:rowOff>
    </xdr:from>
    <xdr:to>
      <xdr:col>61</xdr:col>
      <xdr:colOff>0</xdr:colOff>
      <xdr:row>17</xdr:row>
      <xdr:rowOff>0</xdr:rowOff>
    </xdr:to>
    <xdr:sp>
      <xdr:nvSpPr>
        <xdr:cNvPr id="71" name="Rectangle 75"/>
        <xdr:cNvSpPr>
          <a:spLocks/>
        </xdr:cNvSpPr>
      </xdr:nvSpPr>
      <xdr:spPr>
        <a:xfrm>
          <a:off x="429482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0</xdr:rowOff>
    </xdr:from>
    <xdr:to>
      <xdr:col>58</xdr:col>
      <xdr:colOff>0</xdr:colOff>
      <xdr:row>17</xdr:row>
      <xdr:rowOff>0</xdr:rowOff>
    </xdr:to>
    <xdr:sp>
      <xdr:nvSpPr>
        <xdr:cNvPr id="72" name="Rectangle 76"/>
        <xdr:cNvSpPr>
          <a:spLocks/>
        </xdr:cNvSpPr>
      </xdr:nvSpPr>
      <xdr:spPr>
        <a:xfrm>
          <a:off x="422719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76</xdr:col>
      <xdr:colOff>0</xdr:colOff>
      <xdr:row>17</xdr:row>
      <xdr:rowOff>0</xdr:rowOff>
    </xdr:to>
    <xdr:sp>
      <xdr:nvSpPr>
        <xdr:cNvPr id="73" name="Rectangle 77"/>
        <xdr:cNvSpPr>
          <a:spLocks/>
        </xdr:cNvSpPr>
      </xdr:nvSpPr>
      <xdr:spPr>
        <a:xfrm>
          <a:off x="540353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9</xdr:row>
      <xdr:rowOff>0</xdr:rowOff>
    </xdr:from>
    <xdr:to>
      <xdr:col>73</xdr:col>
      <xdr:colOff>0</xdr:colOff>
      <xdr:row>17</xdr:row>
      <xdr:rowOff>0</xdr:rowOff>
    </xdr:to>
    <xdr:sp>
      <xdr:nvSpPr>
        <xdr:cNvPr id="74" name="Rectangle 78"/>
        <xdr:cNvSpPr>
          <a:spLocks/>
        </xdr:cNvSpPr>
      </xdr:nvSpPr>
      <xdr:spPr>
        <a:xfrm>
          <a:off x="52997100" y="1466850"/>
          <a:ext cx="103822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</xdr:row>
      <xdr:rowOff>0</xdr:rowOff>
    </xdr:from>
    <xdr:to>
      <xdr:col>72</xdr:col>
      <xdr:colOff>0</xdr:colOff>
      <xdr:row>17</xdr:row>
      <xdr:rowOff>0</xdr:rowOff>
    </xdr:to>
    <xdr:sp>
      <xdr:nvSpPr>
        <xdr:cNvPr id="75" name="Rectangle 79"/>
        <xdr:cNvSpPr>
          <a:spLocks/>
        </xdr:cNvSpPr>
      </xdr:nvSpPr>
      <xdr:spPr>
        <a:xfrm>
          <a:off x="50377725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</xdr:row>
      <xdr:rowOff>0</xdr:rowOff>
    </xdr:from>
    <xdr:to>
      <xdr:col>69</xdr:col>
      <xdr:colOff>0</xdr:colOff>
      <xdr:row>17</xdr:row>
      <xdr:rowOff>0</xdr:rowOff>
    </xdr:to>
    <xdr:sp>
      <xdr:nvSpPr>
        <xdr:cNvPr id="76" name="Rectangle 80"/>
        <xdr:cNvSpPr>
          <a:spLocks/>
        </xdr:cNvSpPr>
      </xdr:nvSpPr>
      <xdr:spPr>
        <a:xfrm>
          <a:off x="503777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10</xdr:row>
      <xdr:rowOff>0</xdr:rowOff>
    </xdr:from>
    <xdr:to>
      <xdr:col>76</xdr:col>
      <xdr:colOff>0</xdr:colOff>
      <xdr:row>17</xdr:row>
      <xdr:rowOff>0</xdr:rowOff>
    </xdr:to>
    <xdr:sp>
      <xdr:nvSpPr>
        <xdr:cNvPr id="77" name="Rectangle 81"/>
        <xdr:cNvSpPr>
          <a:spLocks/>
        </xdr:cNvSpPr>
      </xdr:nvSpPr>
      <xdr:spPr>
        <a:xfrm>
          <a:off x="54035325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10</xdr:row>
      <xdr:rowOff>0</xdr:rowOff>
    </xdr:from>
    <xdr:to>
      <xdr:col>73</xdr:col>
      <xdr:colOff>0</xdr:colOff>
      <xdr:row>17</xdr:row>
      <xdr:rowOff>0</xdr:rowOff>
    </xdr:to>
    <xdr:sp>
      <xdr:nvSpPr>
        <xdr:cNvPr id="78" name="Rectangle 82"/>
        <xdr:cNvSpPr>
          <a:spLocks/>
        </xdr:cNvSpPr>
      </xdr:nvSpPr>
      <xdr:spPr>
        <a:xfrm>
          <a:off x="52997100" y="1638300"/>
          <a:ext cx="103822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72</xdr:col>
      <xdr:colOff>0</xdr:colOff>
      <xdr:row>17</xdr:row>
      <xdr:rowOff>0</xdr:rowOff>
    </xdr:to>
    <xdr:sp>
      <xdr:nvSpPr>
        <xdr:cNvPr id="79" name="Rectangle 83"/>
        <xdr:cNvSpPr>
          <a:spLocks/>
        </xdr:cNvSpPr>
      </xdr:nvSpPr>
      <xdr:spPr>
        <a:xfrm>
          <a:off x="50377725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69</xdr:col>
      <xdr:colOff>0</xdr:colOff>
      <xdr:row>17</xdr:row>
      <xdr:rowOff>0</xdr:rowOff>
    </xdr:to>
    <xdr:sp>
      <xdr:nvSpPr>
        <xdr:cNvPr id="80" name="Rectangle 84"/>
        <xdr:cNvSpPr>
          <a:spLocks/>
        </xdr:cNvSpPr>
      </xdr:nvSpPr>
      <xdr:spPr>
        <a:xfrm>
          <a:off x="50377725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76</xdr:col>
      <xdr:colOff>0</xdr:colOff>
      <xdr:row>17</xdr:row>
      <xdr:rowOff>0</xdr:rowOff>
    </xdr:to>
    <xdr:sp>
      <xdr:nvSpPr>
        <xdr:cNvPr id="81" name="Rectangle 85"/>
        <xdr:cNvSpPr>
          <a:spLocks/>
        </xdr:cNvSpPr>
      </xdr:nvSpPr>
      <xdr:spPr>
        <a:xfrm>
          <a:off x="540353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9</xdr:row>
      <xdr:rowOff>0</xdr:rowOff>
    </xdr:from>
    <xdr:to>
      <xdr:col>73</xdr:col>
      <xdr:colOff>0</xdr:colOff>
      <xdr:row>17</xdr:row>
      <xdr:rowOff>0</xdr:rowOff>
    </xdr:to>
    <xdr:sp>
      <xdr:nvSpPr>
        <xdr:cNvPr id="82" name="Rectangle 86"/>
        <xdr:cNvSpPr>
          <a:spLocks/>
        </xdr:cNvSpPr>
      </xdr:nvSpPr>
      <xdr:spPr>
        <a:xfrm>
          <a:off x="52997100" y="1466850"/>
          <a:ext cx="103822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9</xdr:row>
      <xdr:rowOff>0</xdr:rowOff>
    </xdr:from>
    <xdr:to>
      <xdr:col>72</xdr:col>
      <xdr:colOff>0</xdr:colOff>
      <xdr:row>17</xdr:row>
      <xdr:rowOff>0</xdr:rowOff>
    </xdr:to>
    <xdr:sp>
      <xdr:nvSpPr>
        <xdr:cNvPr id="83" name="Rectangle 87"/>
        <xdr:cNvSpPr>
          <a:spLocks/>
        </xdr:cNvSpPr>
      </xdr:nvSpPr>
      <xdr:spPr>
        <a:xfrm>
          <a:off x="510540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</xdr:row>
      <xdr:rowOff>0</xdr:rowOff>
    </xdr:from>
    <xdr:to>
      <xdr:col>69</xdr:col>
      <xdr:colOff>0</xdr:colOff>
      <xdr:row>17</xdr:row>
      <xdr:rowOff>0</xdr:rowOff>
    </xdr:to>
    <xdr:sp>
      <xdr:nvSpPr>
        <xdr:cNvPr id="84" name="Rectangle 88"/>
        <xdr:cNvSpPr>
          <a:spLocks/>
        </xdr:cNvSpPr>
      </xdr:nvSpPr>
      <xdr:spPr>
        <a:xfrm>
          <a:off x="503777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9</xdr:row>
      <xdr:rowOff>0</xdr:rowOff>
    </xdr:from>
    <xdr:to>
      <xdr:col>87</xdr:col>
      <xdr:colOff>0</xdr:colOff>
      <xdr:row>17</xdr:row>
      <xdr:rowOff>0</xdr:rowOff>
    </xdr:to>
    <xdr:sp>
      <xdr:nvSpPr>
        <xdr:cNvPr id="85" name="Rectangle 89"/>
        <xdr:cNvSpPr>
          <a:spLocks/>
        </xdr:cNvSpPr>
      </xdr:nvSpPr>
      <xdr:spPr>
        <a:xfrm>
          <a:off x="621411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9</xdr:row>
      <xdr:rowOff>0</xdr:rowOff>
    </xdr:from>
    <xdr:to>
      <xdr:col>84</xdr:col>
      <xdr:colOff>0</xdr:colOff>
      <xdr:row>17</xdr:row>
      <xdr:rowOff>0</xdr:rowOff>
    </xdr:to>
    <xdr:sp>
      <xdr:nvSpPr>
        <xdr:cNvPr id="86" name="Rectangle 90"/>
        <xdr:cNvSpPr>
          <a:spLocks/>
        </xdr:cNvSpPr>
      </xdr:nvSpPr>
      <xdr:spPr>
        <a:xfrm>
          <a:off x="6109335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0</xdr:rowOff>
    </xdr:from>
    <xdr:to>
      <xdr:col>83</xdr:col>
      <xdr:colOff>0</xdr:colOff>
      <xdr:row>17</xdr:row>
      <xdr:rowOff>0</xdr:rowOff>
    </xdr:to>
    <xdr:sp>
      <xdr:nvSpPr>
        <xdr:cNvPr id="87" name="Rectangle 91"/>
        <xdr:cNvSpPr>
          <a:spLocks/>
        </xdr:cNvSpPr>
      </xdr:nvSpPr>
      <xdr:spPr>
        <a:xfrm>
          <a:off x="58473975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0</xdr:rowOff>
    </xdr:from>
    <xdr:to>
      <xdr:col>80</xdr:col>
      <xdr:colOff>0</xdr:colOff>
      <xdr:row>17</xdr:row>
      <xdr:rowOff>0</xdr:rowOff>
    </xdr:to>
    <xdr:sp>
      <xdr:nvSpPr>
        <xdr:cNvPr id="88" name="Rectangle 92"/>
        <xdr:cNvSpPr>
          <a:spLocks/>
        </xdr:cNvSpPr>
      </xdr:nvSpPr>
      <xdr:spPr>
        <a:xfrm>
          <a:off x="5847397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10</xdr:row>
      <xdr:rowOff>0</xdr:rowOff>
    </xdr:from>
    <xdr:to>
      <xdr:col>87</xdr:col>
      <xdr:colOff>0</xdr:colOff>
      <xdr:row>17</xdr:row>
      <xdr:rowOff>0</xdr:rowOff>
    </xdr:to>
    <xdr:sp>
      <xdr:nvSpPr>
        <xdr:cNvPr id="89" name="Rectangle 93"/>
        <xdr:cNvSpPr>
          <a:spLocks/>
        </xdr:cNvSpPr>
      </xdr:nvSpPr>
      <xdr:spPr>
        <a:xfrm>
          <a:off x="62141100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10</xdr:row>
      <xdr:rowOff>0</xdr:rowOff>
    </xdr:from>
    <xdr:to>
      <xdr:col>84</xdr:col>
      <xdr:colOff>0</xdr:colOff>
      <xdr:row>17</xdr:row>
      <xdr:rowOff>0</xdr:rowOff>
    </xdr:to>
    <xdr:sp>
      <xdr:nvSpPr>
        <xdr:cNvPr id="90" name="Rectangle 94"/>
        <xdr:cNvSpPr>
          <a:spLocks/>
        </xdr:cNvSpPr>
      </xdr:nvSpPr>
      <xdr:spPr>
        <a:xfrm>
          <a:off x="61093350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10</xdr:row>
      <xdr:rowOff>0</xdr:rowOff>
    </xdr:from>
    <xdr:to>
      <xdr:col>83</xdr:col>
      <xdr:colOff>0</xdr:colOff>
      <xdr:row>17</xdr:row>
      <xdr:rowOff>0</xdr:rowOff>
    </xdr:to>
    <xdr:sp>
      <xdr:nvSpPr>
        <xdr:cNvPr id="91" name="Rectangle 95"/>
        <xdr:cNvSpPr>
          <a:spLocks/>
        </xdr:cNvSpPr>
      </xdr:nvSpPr>
      <xdr:spPr>
        <a:xfrm>
          <a:off x="58473975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10</xdr:row>
      <xdr:rowOff>0</xdr:rowOff>
    </xdr:from>
    <xdr:to>
      <xdr:col>80</xdr:col>
      <xdr:colOff>0</xdr:colOff>
      <xdr:row>17</xdr:row>
      <xdr:rowOff>0</xdr:rowOff>
    </xdr:to>
    <xdr:sp>
      <xdr:nvSpPr>
        <xdr:cNvPr id="92" name="Rectangle 96"/>
        <xdr:cNvSpPr>
          <a:spLocks/>
        </xdr:cNvSpPr>
      </xdr:nvSpPr>
      <xdr:spPr>
        <a:xfrm>
          <a:off x="58473975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9</xdr:row>
      <xdr:rowOff>0</xdr:rowOff>
    </xdr:from>
    <xdr:to>
      <xdr:col>87</xdr:col>
      <xdr:colOff>0</xdr:colOff>
      <xdr:row>17</xdr:row>
      <xdr:rowOff>0</xdr:rowOff>
    </xdr:to>
    <xdr:sp>
      <xdr:nvSpPr>
        <xdr:cNvPr id="93" name="Rectangle 97"/>
        <xdr:cNvSpPr>
          <a:spLocks/>
        </xdr:cNvSpPr>
      </xdr:nvSpPr>
      <xdr:spPr>
        <a:xfrm>
          <a:off x="621411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9</xdr:row>
      <xdr:rowOff>0</xdr:rowOff>
    </xdr:from>
    <xdr:to>
      <xdr:col>84</xdr:col>
      <xdr:colOff>0</xdr:colOff>
      <xdr:row>17</xdr:row>
      <xdr:rowOff>0</xdr:rowOff>
    </xdr:to>
    <xdr:sp>
      <xdr:nvSpPr>
        <xdr:cNvPr id="94" name="Rectangle 98"/>
        <xdr:cNvSpPr>
          <a:spLocks/>
        </xdr:cNvSpPr>
      </xdr:nvSpPr>
      <xdr:spPr>
        <a:xfrm>
          <a:off x="6109335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9</xdr:row>
      <xdr:rowOff>0</xdr:rowOff>
    </xdr:from>
    <xdr:to>
      <xdr:col>83</xdr:col>
      <xdr:colOff>0</xdr:colOff>
      <xdr:row>17</xdr:row>
      <xdr:rowOff>0</xdr:rowOff>
    </xdr:to>
    <xdr:sp>
      <xdr:nvSpPr>
        <xdr:cNvPr id="95" name="Rectangle 99"/>
        <xdr:cNvSpPr>
          <a:spLocks/>
        </xdr:cNvSpPr>
      </xdr:nvSpPr>
      <xdr:spPr>
        <a:xfrm>
          <a:off x="5915025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0</xdr:rowOff>
    </xdr:from>
    <xdr:to>
      <xdr:col>80</xdr:col>
      <xdr:colOff>0</xdr:colOff>
      <xdr:row>17</xdr:row>
      <xdr:rowOff>0</xdr:rowOff>
    </xdr:to>
    <xdr:sp>
      <xdr:nvSpPr>
        <xdr:cNvPr id="96" name="Rectangle 100"/>
        <xdr:cNvSpPr>
          <a:spLocks/>
        </xdr:cNvSpPr>
      </xdr:nvSpPr>
      <xdr:spPr>
        <a:xfrm>
          <a:off x="5847397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9</xdr:row>
      <xdr:rowOff>0</xdr:rowOff>
    </xdr:from>
    <xdr:to>
      <xdr:col>98</xdr:col>
      <xdr:colOff>0</xdr:colOff>
      <xdr:row>17</xdr:row>
      <xdr:rowOff>0</xdr:rowOff>
    </xdr:to>
    <xdr:sp>
      <xdr:nvSpPr>
        <xdr:cNvPr id="97" name="Rectangle 101"/>
        <xdr:cNvSpPr>
          <a:spLocks/>
        </xdr:cNvSpPr>
      </xdr:nvSpPr>
      <xdr:spPr>
        <a:xfrm>
          <a:off x="702468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9</xdr:row>
      <xdr:rowOff>0</xdr:rowOff>
    </xdr:from>
    <xdr:to>
      <xdr:col>95</xdr:col>
      <xdr:colOff>0</xdr:colOff>
      <xdr:row>17</xdr:row>
      <xdr:rowOff>0</xdr:rowOff>
    </xdr:to>
    <xdr:sp>
      <xdr:nvSpPr>
        <xdr:cNvPr id="98" name="Rectangle 102"/>
        <xdr:cNvSpPr>
          <a:spLocks/>
        </xdr:cNvSpPr>
      </xdr:nvSpPr>
      <xdr:spPr>
        <a:xfrm>
          <a:off x="691991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9</xdr:row>
      <xdr:rowOff>0</xdr:rowOff>
    </xdr:from>
    <xdr:to>
      <xdr:col>94</xdr:col>
      <xdr:colOff>0</xdr:colOff>
      <xdr:row>17</xdr:row>
      <xdr:rowOff>0</xdr:rowOff>
    </xdr:to>
    <xdr:sp>
      <xdr:nvSpPr>
        <xdr:cNvPr id="99" name="Rectangle 103"/>
        <xdr:cNvSpPr>
          <a:spLocks/>
        </xdr:cNvSpPr>
      </xdr:nvSpPr>
      <xdr:spPr>
        <a:xfrm>
          <a:off x="66579750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9</xdr:row>
      <xdr:rowOff>0</xdr:rowOff>
    </xdr:from>
    <xdr:to>
      <xdr:col>91</xdr:col>
      <xdr:colOff>0</xdr:colOff>
      <xdr:row>17</xdr:row>
      <xdr:rowOff>0</xdr:rowOff>
    </xdr:to>
    <xdr:sp>
      <xdr:nvSpPr>
        <xdr:cNvPr id="100" name="Rectangle 104"/>
        <xdr:cNvSpPr>
          <a:spLocks/>
        </xdr:cNvSpPr>
      </xdr:nvSpPr>
      <xdr:spPr>
        <a:xfrm>
          <a:off x="665797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10</xdr:row>
      <xdr:rowOff>0</xdr:rowOff>
    </xdr:from>
    <xdr:to>
      <xdr:col>98</xdr:col>
      <xdr:colOff>0</xdr:colOff>
      <xdr:row>17</xdr:row>
      <xdr:rowOff>0</xdr:rowOff>
    </xdr:to>
    <xdr:sp>
      <xdr:nvSpPr>
        <xdr:cNvPr id="101" name="Rectangle 105"/>
        <xdr:cNvSpPr>
          <a:spLocks/>
        </xdr:cNvSpPr>
      </xdr:nvSpPr>
      <xdr:spPr>
        <a:xfrm>
          <a:off x="70246875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10</xdr:row>
      <xdr:rowOff>0</xdr:rowOff>
    </xdr:from>
    <xdr:to>
      <xdr:col>95</xdr:col>
      <xdr:colOff>0</xdr:colOff>
      <xdr:row>17</xdr:row>
      <xdr:rowOff>0</xdr:rowOff>
    </xdr:to>
    <xdr:sp>
      <xdr:nvSpPr>
        <xdr:cNvPr id="102" name="Rectangle 106"/>
        <xdr:cNvSpPr>
          <a:spLocks/>
        </xdr:cNvSpPr>
      </xdr:nvSpPr>
      <xdr:spPr>
        <a:xfrm>
          <a:off x="69199125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10</xdr:row>
      <xdr:rowOff>0</xdr:rowOff>
    </xdr:from>
    <xdr:to>
      <xdr:col>94</xdr:col>
      <xdr:colOff>0</xdr:colOff>
      <xdr:row>17</xdr:row>
      <xdr:rowOff>0</xdr:rowOff>
    </xdr:to>
    <xdr:sp>
      <xdr:nvSpPr>
        <xdr:cNvPr id="103" name="Rectangle 107"/>
        <xdr:cNvSpPr>
          <a:spLocks/>
        </xdr:cNvSpPr>
      </xdr:nvSpPr>
      <xdr:spPr>
        <a:xfrm>
          <a:off x="66579750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10</xdr:row>
      <xdr:rowOff>0</xdr:rowOff>
    </xdr:from>
    <xdr:to>
      <xdr:col>91</xdr:col>
      <xdr:colOff>0</xdr:colOff>
      <xdr:row>17</xdr:row>
      <xdr:rowOff>0</xdr:rowOff>
    </xdr:to>
    <xdr:sp>
      <xdr:nvSpPr>
        <xdr:cNvPr id="104" name="Rectangle 108"/>
        <xdr:cNvSpPr>
          <a:spLocks/>
        </xdr:cNvSpPr>
      </xdr:nvSpPr>
      <xdr:spPr>
        <a:xfrm>
          <a:off x="66579750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9</xdr:row>
      <xdr:rowOff>0</xdr:rowOff>
    </xdr:from>
    <xdr:to>
      <xdr:col>98</xdr:col>
      <xdr:colOff>0</xdr:colOff>
      <xdr:row>17</xdr:row>
      <xdr:rowOff>0</xdr:rowOff>
    </xdr:to>
    <xdr:sp>
      <xdr:nvSpPr>
        <xdr:cNvPr id="105" name="Rectangle 109"/>
        <xdr:cNvSpPr>
          <a:spLocks/>
        </xdr:cNvSpPr>
      </xdr:nvSpPr>
      <xdr:spPr>
        <a:xfrm>
          <a:off x="702468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9</xdr:row>
      <xdr:rowOff>0</xdr:rowOff>
    </xdr:from>
    <xdr:to>
      <xdr:col>95</xdr:col>
      <xdr:colOff>0</xdr:colOff>
      <xdr:row>17</xdr:row>
      <xdr:rowOff>0</xdr:rowOff>
    </xdr:to>
    <xdr:sp>
      <xdr:nvSpPr>
        <xdr:cNvPr id="106" name="Rectangle 110"/>
        <xdr:cNvSpPr>
          <a:spLocks/>
        </xdr:cNvSpPr>
      </xdr:nvSpPr>
      <xdr:spPr>
        <a:xfrm>
          <a:off x="691991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9</xdr:row>
      <xdr:rowOff>0</xdr:rowOff>
    </xdr:from>
    <xdr:to>
      <xdr:col>94</xdr:col>
      <xdr:colOff>0</xdr:colOff>
      <xdr:row>17</xdr:row>
      <xdr:rowOff>0</xdr:rowOff>
    </xdr:to>
    <xdr:sp>
      <xdr:nvSpPr>
        <xdr:cNvPr id="107" name="Rectangle 111"/>
        <xdr:cNvSpPr>
          <a:spLocks/>
        </xdr:cNvSpPr>
      </xdr:nvSpPr>
      <xdr:spPr>
        <a:xfrm>
          <a:off x="672560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9</xdr:row>
      <xdr:rowOff>0</xdr:rowOff>
    </xdr:from>
    <xdr:to>
      <xdr:col>91</xdr:col>
      <xdr:colOff>0</xdr:colOff>
      <xdr:row>17</xdr:row>
      <xdr:rowOff>0</xdr:rowOff>
    </xdr:to>
    <xdr:sp>
      <xdr:nvSpPr>
        <xdr:cNvPr id="108" name="Rectangle 112"/>
        <xdr:cNvSpPr>
          <a:spLocks/>
        </xdr:cNvSpPr>
      </xdr:nvSpPr>
      <xdr:spPr>
        <a:xfrm>
          <a:off x="665797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9</xdr:row>
      <xdr:rowOff>0</xdr:rowOff>
    </xdr:from>
    <xdr:to>
      <xdr:col>109</xdr:col>
      <xdr:colOff>0</xdr:colOff>
      <xdr:row>17</xdr:row>
      <xdr:rowOff>0</xdr:rowOff>
    </xdr:to>
    <xdr:sp>
      <xdr:nvSpPr>
        <xdr:cNvPr id="109" name="Rectangle 113"/>
        <xdr:cNvSpPr>
          <a:spLocks/>
        </xdr:cNvSpPr>
      </xdr:nvSpPr>
      <xdr:spPr>
        <a:xfrm>
          <a:off x="7835265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9</xdr:row>
      <xdr:rowOff>0</xdr:rowOff>
    </xdr:from>
    <xdr:to>
      <xdr:col>106</xdr:col>
      <xdr:colOff>0</xdr:colOff>
      <xdr:row>17</xdr:row>
      <xdr:rowOff>0</xdr:rowOff>
    </xdr:to>
    <xdr:sp>
      <xdr:nvSpPr>
        <xdr:cNvPr id="110" name="Rectangle 114"/>
        <xdr:cNvSpPr>
          <a:spLocks/>
        </xdr:cNvSpPr>
      </xdr:nvSpPr>
      <xdr:spPr>
        <a:xfrm>
          <a:off x="7730490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9</xdr:row>
      <xdr:rowOff>0</xdr:rowOff>
    </xdr:from>
    <xdr:to>
      <xdr:col>105</xdr:col>
      <xdr:colOff>0</xdr:colOff>
      <xdr:row>17</xdr:row>
      <xdr:rowOff>0</xdr:rowOff>
    </xdr:to>
    <xdr:sp>
      <xdr:nvSpPr>
        <xdr:cNvPr id="111" name="Rectangle 115"/>
        <xdr:cNvSpPr>
          <a:spLocks/>
        </xdr:cNvSpPr>
      </xdr:nvSpPr>
      <xdr:spPr>
        <a:xfrm>
          <a:off x="74685525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9</xdr:row>
      <xdr:rowOff>0</xdr:rowOff>
    </xdr:from>
    <xdr:to>
      <xdr:col>102</xdr:col>
      <xdr:colOff>0</xdr:colOff>
      <xdr:row>17</xdr:row>
      <xdr:rowOff>0</xdr:rowOff>
    </xdr:to>
    <xdr:sp>
      <xdr:nvSpPr>
        <xdr:cNvPr id="112" name="Rectangle 116"/>
        <xdr:cNvSpPr>
          <a:spLocks/>
        </xdr:cNvSpPr>
      </xdr:nvSpPr>
      <xdr:spPr>
        <a:xfrm>
          <a:off x="746855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10</xdr:row>
      <xdr:rowOff>0</xdr:rowOff>
    </xdr:from>
    <xdr:to>
      <xdr:col>109</xdr:col>
      <xdr:colOff>0</xdr:colOff>
      <xdr:row>17</xdr:row>
      <xdr:rowOff>0</xdr:rowOff>
    </xdr:to>
    <xdr:sp>
      <xdr:nvSpPr>
        <xdr:cNvPr id="113" name="Rectangle 117"/>
        <xdr:cNvSpPr>
          <a:spLocks/>
        </xdr:cNvSpPr>
      </xdr:nvSpPr>
      <xdr:spPr>
        <a:xfrm>
          <a:off x="78352650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10</xdr:row>
      <xdr:rowOff>0</xdr:rowOff>
    </xdr:from>
    <xdr:to>
      <xdr:col>106</xdr:col>
      <xdr:colOff>0</xdr:colOff>
      <xdr:row>17</xdr:row>
      <xdr:rowOff>0</xdr:rowOff>
    </xdr:to>
    <xdr:sp>
      <xdr:nvSpPr>
        <xdr:cNvPr id="114" name="Rectangle 118"/>
        <xdr:cNvSpPr>
          <a:spLocks/>
        </xdr:cNvSpPr>
      </xdr:nvSpPr>
      <xdr:spPr>
        <a:xfrm>
          <a:off x="77304900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10</xdr:row>
      <xdr:rowOff>0</xdr:rowOff>
    </xdr:from>
    <xdr:to>
      <xdr:col>105</xdr:col>
      <xdr:colOff>0</xdr:colOff>
      <xdr:row>17</xdr:row>
      <xdr:rowOff>0</xdr:rowOff>
    </xdr:to>
    <xdr:sp>
      <xdr:nvSpPr>
        <xdr:cNvPr id="115" name="Rectangle 119"/>
        <xdr:cNvSpPr>
          <a:spLocks/>
        </xdr:cNvSpPr>
      </xdr:nvSpPr>
      <xdr:spPr>
        <a:xfrm>
          <a:off x="74685525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10</xdr:row>
      <xdr:rowOff>0</xdr:rowOff>
    </xdr:from>
    <xdr:to>
      <xdr:col>102</xdr:col>
      <xdr:colOff>0</xdr:colOff>
      <xdr:row>17</xdr:row>
      <xdr:rowOff>0</xdr:rowOff>
    </xdr:to>
    <xdr:sp>
      <xdr:nvSpPr>
        <xdr:cNvPr id="116" name="Rectangle 120"/>
        <xdr:cNvSpPr>
          <a:spLocks/>
        </xdr:cNvSpPr>
      </xdr:nvSpPr>
      <xdr:spPr>
        <a:xfrm>
          <a:off x="74685525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9</xdr:row>
      <xdr:rowOff>0</xdr:rowOff>
    </xdr:from>
    <xdr:to>
      <xdr:col>109</xdr:col>
      <xdr:colOff>0</xdr:colOff>
      <xdr:row>17</xdr:row>
      <xdr:rowOff>0</xdr:rowOff>
    </xdr:to>
    <xdr:sp>
      <xdr:nvSpPr>
        <xdr:cNvPr id="117" name="Rectangle 121"/>
        <xdr:cNvSpPr>
          <a:spLocks/>
        </xdr:cNvSpPr>
      </xdr:nvSpPr>
      <xdr:spPr>
        <a:xfrm>
          <a:off x="7835265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9</xdr:row>
      <xdr:rowOff>0</xdr:rowOff>
    </xdr:from>
    <xdr:to>
      <xdr:col>106</xdr:col>
      <xdr:colOff>0</xdr:colOff>
      <xdr:row>17</xdr:row>
      <xdr:rowOff>0</xdr:rowOff>
    </xdr:to>
    <xdr:sp>
      <xdr:nvSpPr>
        <xdr:cNvPr id="118" name="Rectangle 122"/>
        <xdr:cNvSpPr>
          <a:spLocks/>
        </xdr:cNvSpPr>
      </xdr:nvSpPr>
      <xdr:spPr>
        <a:xfrm>
          <a:off x="7730490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9</xdr:row>
      <xdr:rowOff>0</xdr:rowOff>
    </xdr:from>
    <xdr:to>
      <xdr:col>105</xdr:col>
      <xdr:colOff>0</xdr:colOff>
      <xdr:row>17</xdr:row>
      <xdr:rowOff>0</xdr:rowOff>
    </xdr:to>
    <xdr:sp>
      <xdr:nvSpPr>
        <xdr:cNvPr id="119" name="Rectangle 123"/>
        <xdr:cNvSpPr>
          <a:spLocks/>
        </xdr:cNvSpPr>
      </xdr:nvSpPr>
      <xdr:spPr>
        <a:xfrm>
          <a:off x="753618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9</xdr:row>
      <xdr:rowOff>0</xdr:rowOff>
    </xdr:from>
    <xdr:to>
      <xdr:col>102</xdr:col>
      <xdr:colOff>0</xdr:colOff>
      <xdr:row>17</xdr:row>
      <xdr:rowOff>0</xdr:rowOff>
    </xdr:to>
    <xdr:sp>
      <xdr:nvSpPr>
        <xdr:cNvPr id="120" name="Rectangle 124"/>
        <xdr:cNvSpPr>
          <a:spLocks/>
        </xdr:cNvSpPr>
      </xdr:nvSpPr>
      <xdr:spPr>
        <a:xfrm>
          <a:off x="746855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9</xdr:row>
      <xdr:rowOff>0</xdr:rowOff>
    </xdr:from>
    <xdr:to>
      <xdr:col>120</xdr:col>
      <xdr:colOff>0</xdr:colOff>
      <xdr:row>17</xdr:row>
      <xdr:rowOff>0</xdr:rowOff>
    </xdr:to>
    <xdr:sp>
      <xdr:nvSpPr>
        <xdr:cNvPr id="121" name="Rectangle 125"/>
        <xdr:cNvSpPr>
          <a:spLocks/>
        </xdr:cNvSpPr>
      </xdr:nvSpPr>
      <xdr:spPr>
        <a:xfrm>
          <a:off x="86467950" y="1466850"/>
          <a:ext cx="19335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9</xdr:row>
      <xdr:rowOff>0</xdr:rowOff>
    </xdr:from>
    <xdr:to>
      <xdr:col>117</xdr:col>
      <xdr:colOff>0</xdr:colOff>
      <xdr:row>17</xdr:row>
      <xdr:rowOff>0</xdr:rowOff>
    </xdr:to>
    <xdr:sp>
      <xdr:nvSpPr>
        <xdr:cNvPr id="122" name="Rectangle 126"/>
        <xdr:cNvSpPr>
          <a:spLocks/>
        </xdr:cNvSpPr>
      </xdr:nvSpPr>
      <xdr:spPr>
        <a:xfrm>
          <a:off x="8542020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9</xdr:row>
      <xdr:rowOff>0</xdr:rowOff>
    </xdr:from>
    <xdr:to>
      <xdr:col>116</xdr:col>
      <xdr:colOff>0</xdr:colOff>
      <xdr:row>17</xdr:row>
      <xdr:rowOff>0</xdr:rowOff>
    </xdr:to>
    <xdr:sp>
      <xdr:nvSpPr>
        <xdr:cNvPr id="123" name="Rectangle 127"/>
        <xdr:cNvSpPr>
          <a:spLocks/>
        </xdr:cNvSpPr>
      </xdr:nvSpPr>
      <xdr:spPr>
        <a:xfrm>
          <a:off x="82800825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9</xdr:row>
      <xdr:rowOff>0</xdr:rowOff>
    </xdr:from>
    <xdr:to>
      <xdr:col>113</xdr:col>
      <xdr:colOff>0</xdr:colOff>
      <xdr:row>17</xdr:row>
      <xdr:rowOff>0</xdr:rowOff>
    </xdr:to>
    <xdr:sp>
      <xdr:nvSpPr>
        <xdr:cNvPr id="124" name="Rectangle 128"/>
        <xdr:cNvSpPr>
          <a:spLocks/>
        </xdr:cNvSpPr>
      </xdr:nvSpPr>
      <xdr:spPr>
        <a:xfrm>
          <a:off x="828008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10</xdr:row>
      <xdr:rowOff>0</xdr:rowOff>
    </xdr:from>
    <xdr:to>
      <xdr:col>120</xdr:col>
      <xdr:colOff>0</xdr:colOff>
      <xdr:row>17</xdr:row>
      <xdr:rowOff>0</xdr:rowOff>
    </xdr:to>
    <xdr:sp>
      <xdr:nvSpPr>
        <xdr:cNvPr id="125" name="Rectangle 129"/>
        <xdr:cNvSpPr>
          <a:spLocks/>
        </xdr:cNvSpPr>
      </xdr:nvSpPr>
      <xdr:spPr>
        <a:xfrm>
          <a:off x="86467950" y="1638300"/>
          <a:ext cx="19335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10</xdr:row>
      <xdr:rowOff>0</xdr:rowOff>
    </xdr:from>
    <xdr:to>
      <xdr:col>117</xdr:col>
      <xdr:colOff>0</xdr:colOff>
      <xdr:row>17</xdr:row>
      <xdr:rowOff>0</xdr:rowOff>
    </xdr:to>
    <xdr:sp>
      <xdr:nvSpPr>
        <xdr:cNvPr id="126" name="Rectangle 130"/>
        <xdr:cNvSpPr>
          <a:spLocks/>
        </xdr:cNvSpPr>
      </xdr:nvSpPr>
      <xdr:spPr>
        <a:xfrm>
          <a:off x="85420200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10</xdr:row>
      <xdr:rowOff>0</xdr:rowOff>
    </xdr:from>
    <xdr:to>
      <xdr:col>116</xdr:col>
      <xdr:colOff>0</xdr:colOff>
      <xdr:row>17</xdr:row>
      <xdr:rowOff>0</xdr:rowOff>
    </xdr:to>
    <xdr:sp>
      <xdr:nvSpPr>
        <xdr:cNvPr id="127" name="Rectangle 131"/>
        <xdr:cNvSpPr>
          <a:spLocks/>
        </xdr:cNvSpPr>
      </xdr:nvSpPr>
      <xdr:spPr>
        <a:xfrm>
          <a:off x="82800825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10</xdr:row>
      <xdr:rowOff>0</xdr:rowOff>
    </xdr:from>
    <xdr:to>
      <xdr:col>113</xdr:col>
      <xdr:colOff>0</xdr:colOff>
      <xdr:row>17</xdr:row>
      <xdr:rowOff>0</xdr:rowOff>
    </xdr:to>
    <xdr:sp>
      <xdr:nvSpPr>
        <xdr:cNvPr id="128" name="Rectangle 132"/>
        <xdr:cNvSpPr>
          <a:spLocks/>
        </xdr:cNvSpPr>
      </xdr:nvSpPr>
      <xdr:spPr>
        <a:xfrm>
          <a:off x="82800825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9</xdr:row>
      <xdr:rowOff>0</xdr:rowOff>
    </xdr:from>
    <xdr:to>
      <xdr:col>120</xdr:col>
      <xdr:colOff>0</xdr:colOff>
      <xdr:row>17</xdr:row>
      <xdr:rowOff>0</xdr:rowOff>
    </xdr:to>
    <xdr:sp>
      <xdr:nvSpPr>
        <xdr:cNvPr id="129" name="Rectangle 133"/>
        <xdr:cNvSpPr>
          <a:spLocks/>
        </xdr:cNvSpPr>
      </xdr:nvSpPr>
      <xdr:spPr>
        <a:xfrm>
          <a:off x="86467950" y="1466850"/>
          <a:ext cx="19335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9</xdr:row>
      <xdr:rowOff>0</xdr:rowOff>
    </xdr:from>
    <xdr:to>
      <xdr:col>117</xdr:col>
      <xdr:colOff>0</xdr:colOff>
      <xdr:row>17</xdr:row>
      <xdr:rowOff>0</xdr:rowOff>
    </xdr:to>
    <xdr:sp>
      <xdr:nvSpPr>
        <xdr:cNvPr id="130" name="Rectangle 134"/>
        <xdr:cNvSpPr>
          <a:spLocks/>
        </xdr:cNvSpPr>
      </xdr:nvSpPr>
      <xdr:spPr>
        <a:xfrm>
          <a:off x="8542020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9</xdr:row>
      <xdr:rowOff>0</xdr:rowOff>
    </xdr:from>
    <xdr:to>
      <xdr:col>116</xdr:col>
      <xdr:colOff>0</xdr:colOff>
      <xdr:row>17</xdr:row>
      <xdr:rowOff>0</xdr:rowOff>
    </xdr:to>
    <xdr:sp>
      <xdr:nvSpPr>
        <xdr:cNvPr id="131" name="Rectangle 135"/>
        <xdr:cNvSpPr>
          <a:spLocks/>
        </xdr:cNvSpPr>
      </xdr:nvSpPr>
      <xdr:spPr>
        <a:xfrm>
          <a:off x="834771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9</xdr:row>
      <xdr:rowOff>0</xdr:rowOff>
    </xdr:from>
    <xdr:to>
      <xdr:col>113</xdr:col>
      <xdr:colOff>0</xdr:colOff>
      <xdr:row>17</xdr:row>
      <xdr:rowOff>0</xdr:rowOff>
    </xdr:to>
    <xdr:sp>
      <xdr:nvSpPr>
        <xdr:cNvPr id="132" name="Rectangle 136"/>
        <xdr:cNvSpPr>
          <a:spLocks/>
        </xdr:cNvSpPr>
      </xdr:nvSpPr>
      <xdr:spPr>
        <a:xfrm>
          <a:off x="8280082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9</xdr:row>
      <xdr:rowOff>0</xdr:rowOff>
    </xdr:from>
    <xdr:to>
      <xdr:col>131</xdr:col>
      <xdr:colOff>0</xdr:colOff>
      <xdr:row>17</xdr:row>
      <xdr:rowOff>0</xdr:rowOff>
    </xdr:to>
    <xdr:sp>
      <xdr:nvSpPr>
        <xdr:cNvPr id="133" name="Rectangle 137"/>
        <xdr:cNvSpPr>
          <a:spLocks/>
        </xdr:cNvSpPr>
      </xdr:nvSpPr>
      <xdr:spPr>
        <a:xfrm>
          <a:off x="945642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9</xdr:row>
      <xdr:rowOff>0</xdr:rowOff>
    </xdr:from>
    <xdr:to>
      <xdr:col>128</xdr:col>
      <xdr:colOff>0</xdr:colOff>
      <xdr:row>17</xdr:row>
      <xdr:rowOff>0</xdr:rowOff>
    </xdr:to>
    <xdr:sp>
      <xdr:nvSpPr>
        <xdr:cNvPr id="134" name="Rectangle 138"/>
        <xdr:cNvSpPr>
          <a:spLocks/>
        </xdr:cNvSpPr>
      </xdr:nvSpPr>
      <xdr:spPr>
        <a:xfrm>
          <a:off x="9351645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9</xdr:row>
      <xdr:rowOff>0</xdr:rowOff>
    </xdr:from>
    <xdr:to>
      <xdr:col>127</xdr:col>
      <xdr:colOff>0</xdr:colOff>
      <xdr:row>17</xdr:row>
      <xdr:rowOff>0</xdr:rowOff>
    </xdr:to>
    <xdr:sp>
      <xdr:nvSpPr>
        <xdr:cNvPr id="135" name="Rectangle 139"/>
        <xdr:cNvSpPr>
          <a:spLocks/>
        </xdr:cNvSpPr>
      </xdr:nvSpPr>
      <xdr:spPr>
        <a:xfrm>
          <a:off x="90897075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9</xdr:row>
      <xdr:rowOff>0</xdr:rowOff>
    </xdr:from>
    <xdr:to>
      <xdr:col>124</xdr:col>
      <xdr:colOff>0</xdr:colOff>
      <xdr:row>17</xdr:row>
      <xdr:rowOff>0</xdr:rowOff>
    </xdr:to>
    <xdr:sp>
      <xdr:nvSpPr>
        <xdr:cNvPr id="136" name="Rectangle 140"/>
        <xdr:cNvSpPr>
          <a:spLocks/>
        </xdr:cNvSpPr>
      </xdr:nvSpPr>
      <xdr:spPr>
        <a:xfrm>
          <a:off x="9089707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10</xdr:row>
      <xdr:rowOff>0</xdr:rowOff>
    </xdr:from>
    <xdr:to>
      <xdr:col>131</xdr:col>
      <xdr:colOff>0</xdr:colOff>
      <xdr:row>17</xdr:row>
      <xdr:rowOff>0</xdr:rowOff>
    </xdr:to>
    <xdr:sp>
      <xdr:nvSpPr>
        <xdr:cNvPr id="137" name="Rectangle 141"/>
        <xdr:cNvSpPr>
          <a:spLocks/>
        </xdr:cNvSpPr>
      </xdr:nvSpPr>
      <xdr:spPr>
        <a:xfrm>
          <a:off x="94564200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10</xdr:row>
      <xdr:rowOff>0</xdr:rowOff>
    </xdr:from>
    <xdr:to>
      <xdr:col>128</xdr:col>
      <xdr:colOff>0</xdr:colOff>
      <xdr:row>17</xdr:row>
      <xdr:rowOff>0</xdr:rowOff>
    </xdr:to>
    <xdr:sp>
      <xdr:nvSpPr>
        <xdr:cNvPr id="138" name="Rectangle 142"/>
        <xdr:cNvSpPr>
          <a:spLocks/>
        </xdr:cNvSpPr>
      </xdr:nvSpPr>
      <xdr:spPr>
        <a:xfrm>
          <a:off x="93516450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10</xdr:row>
      <xdr:rowOff>0</xdr:rowOff>
    </xdr:from>
    <xdr:to>
      <xdr:col>127</xdr:col>
      <xdr:colOff>0</xdr:colOff>
      <xdr:row>17</xdr:row>
      <xdr:rowOff>0</xdr:rowOff>
    </xdr:to>
    <xdr:sp>
      <xdr:nvSpPr>
        <xdr:cNvPr id="139" name="Rectangle 143"/>
        <xdr:cNvSpPr>
          <a:spLocks/>
        </xdr:cNvSpPr>
      </xdr:nvSpPr>
      <xdr:spPr>
        <a:xfrm>
          <a:off x="90897075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10</xdr:row>
      <xdr:rowOff>0</xdr:rowOff>
    </xdr:from>
    <xdr:to>
      <xdr:col>124</xdr:col>
      <xdr:colOff>0</xdr:colOff>
      <xdr:row>17</xdr:row>
      <xdr:rowOff>0</xdr:rowOff>
    </xdr:to>
    <xdr:sp>
      <xdr:nvSpPr>
        <xdr:cNvPr id="140" name="Rectangle 144"/>
        <xdr:cNvSpPr>
          <a:spLocks/>
        </xdr:cNvSpPr>
      </xdr:nvSpPr>
      <xdr:spPr>
        <a:xfrm>
          <a:off x="90897075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9</xdr:row>
      <xdr:rowOff>0</xdr:rowOff>
    </xdr:from>
    <xdr:to>
      <xdr:col>131</xdr:col>
      <xdr:colOff>0</xdr:colOff>
      <xdr:row>17</xdr:row>
      <xdr:rowOff>0</xdr:rowOff>
    </xdr:to>
    <xdr:sp>
      <xdr:nvSpPr>
        <xdr:cNvPr id="141" name="Rectangle 145"/>
        <xdr:cNvSpPr>
          <a:spLocks/>
        </xdr:cNvSpPr>
      </xdr:nvSpPr>
      <xdr:spPr>
        <a:xfrm>
          <a:off x="9456420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9</xdr:row>
      <xdr:rowOff>0</xdr:rowOff>
    </xdr:from>
    <xdr:to>
      <xdr:col>128</xdr:col>
      <xdr:colOff>0</xdr:colOff>
      <xdr:row>17</xdr:row>
      <xdr:rowOff>0</xdr:rowOff>
    </xdr:to>
    <xdr:sp>
      <xdr:nvSpPr>
        <xdr:cNvPr id="142" name="Rectangle 146"/>
        <xdr:cNvSpPr>
          <a:spLocks/>
        </xdr:cNvSpPr>
      </xdr:nvSpPr>
      <xdr:spPr>
        <a:xfrm>
          <a:off x="93516450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0</xdr:colOff>
      <xdr:row>9</xdr:row>
      <xdr:rowOff>0</xdr:rowOff>
    </xdr:from>
    <xdr:to>
      <xdr:col>127</xdr:col>
      <xdr:colOff>0</xdr:colOff>
      <xdr:row>17</xdr:row>
      <xdr:rowOff>0</xdr:rowOff>
    </xdr:to>
    <xdr:sp>
      <xdr:nvSpPr>
        <xdr:cNvPr id="143" name="Rectangle 147"/>
        <xdr:cNvSpPr>
          <a:spLocks/>
        </xdr:cNvSpPr>
      </xdr:nvSpPr>
      <xdr:spPr>
        <a:xfrm>
          <a:off x="91573350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9</xdr:row>
      <xdr:rowOff>0</xdr:rowOff>
    </xdr:from>
    <xdr:to>
      <xdr:col>124</xdr:col>
      <xdr:colOff>0</xdr:colOff>
      <xdr:row>17</xdr:row>
      <xdr:rowOff>0</xdr:rowOff>
    </xdr:to>
    <xdr:sp>
      <xdr:nvSpPr>
        <xdr:cNvPr id="144" name="Rectangle 148"/>
        <xdr:cNvSpPr>
          <a:spLocks/>
        </xdr:cNvSpPr>
      </xdr:nvSpPr>
      <xdr:spPr>
        <a:xfrm>
          <a:off x="90897075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9</xdr:row>
      <xdr:rowOff>0</xdr:rowOff>
    </xdr:from>
    <xdr:to>
      <xdr:col>142</xdr:col>
      <xdr:colOff>0</xdr:colOff>
      <xdr:row>17</xdr:row>
      <xdr:rowOff>0</xdr:rowOff>
    </xdr:to>
    <xdr:sp>
      <xdr:nvSpPr>
        <xdr:cNvPr id="145" name="Rectangle 149"/>
        <xdr:cNvSpPr>
          <a:spLocks/>
        </xdr:cNvSpPr>
      </xdr:nvSpPr>
      <xdr:spPr>
        <a:xfrm>
          <a:off x="1026699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9</xdr:row>
      <xdr:rowOff>0</xdr:rowOff>
    </xdr:from>
    <xdr:to>
      <xdr:col>139</xdr:col>
      <xdr:colOff>0</xdr:colOff>
      <xdr:row>17</xdr:row>
      <xdr:rowOff>0</xdr:rowOff>
    </xdr:to>
    <xdr:sp>
      <xdr:nvSpPr>
        <xdr:cNvPr id="146" name="Rectangle 150"/>
        <xdr:cNvSpPr>
          <a:spLocks/>
        </xdr:cNvSpPr>
      </xdr:nvSpPr>
      <xdr:spPr>
        <a:xfrm>
          <a:off x="1016222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9</xdr:row>
      <xdr:rowOff>0</xdr:rowOff>
    </xdr:from>
    <xdr:to>
      <xdr:col>138</xdr:col>
      <xdr:colOff>0</xdr:colOff>
      <xdr:row>17</xdr:row>
      <xdr:rowOff>0</xdr:rowOff>
    </xdr:to>
    <xdr:sp>
      <xdr:nvSpPr>
        <xdr:cNvPr id="147" name="Rectangle 151"/>
        <xdr:cNvSpPr>
          <a:spLocks/>
        </xdr:cNvSpPr>
      </xdr:nvSpPr>
      <xdr:spPr>
        <a:xfrm>
          <a:off x="99002850" y="14668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9</xdr:row>
      <xdr:rowOff>0</xdr:rowOff>
    </xdr:from>
    <xdr:to>
      <xdr:col>135</xdr:col>
      <xdr:colOff>0</xdr:colOff>
      <xdr:row>17</xdr:row>
      <xdr:rowOff>0</xdr:rowOff>
    </xdr:to>
    <xdr:sp>
      <xdr:nvSpPr>
        <xdr:cNvPr id="148" name="Rectangle 152"/>
        <xdr:cNvSpPr>
          <a:spLocks/>
        </xdr:cNvSpPr>
      </xdr:nvSpPr>
      <xdr:spPr>
        <a:xfrm>
          <a:off x="990028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10</xdr:row>
      <xdr:rowOff>0</xdr:rowOff>
    </xdr:from>
    <xdr:to>
      <xdr:col>142</xdr:col>
      <xdr:colOff>0</xdr:colOff>
      <xdr:row>17</xdr:row>
      <xdr:rowOff>0</xdr:rowOff>
    </xdr:to>
    <xdr:sp>
      <xdr:nvSpPr>
        <xdr:cNvPr id="149" name="Rectangle 153"/>
        <xdr:cNvSpPr>
          <a:spLocks/>
        </xdr:cNvSpPr>
      </xdr:nvSpPr>
      <xdr:spPr>
        <a:xfrm>
          <a:off x="102669975" y="16383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10</xdr:row>
      <xdr:rowOff>0</xdr:rowOff>
    </xdr:from>
    <xdr:to>
      <xdr:col>139</xdr:col>
      <xdr:colOff>0</xdr:colOff>
      <xdr:row>17</xdr:row>
      <xdr:rowOff>0</xdr:rowOff>
    </xdr:to>
    <xdr:sp>
      <xdr:nvSpPr>
        <xdr:cNvPr id="150" name="Rectangle 154"/>
        <xdr:cNvSpPr>
          <a:spLocks/>
        </xdr:cNvSpPr>
      </xdr:nvSpPr>
      <xdr:spPr>
        <a:xfrm>
          <a:off x="101622225" y="16383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10</xdr:row>
      <xdr:rowOff>0</xdr:rowOff>
    </xdr:from>
    <xdr:to>
      <xdr:col>138</xdr:col>
      <xdr:colOff>0</xdr:colOff>
      <xdr:row>17</xdr:row>
      <xdr:rowOff>0</xdr:rowOff>
    </xdr:to>
    <xdr:sp>
      <xdr:nvSpPr>
        <xdr:cNvPr id="151" name="Rectangle 155"/>
        <xdr:cNvSpPr>
          <a:spLocks/>
        </xdr:cNvSpPr>
      </xdr:nvSpPr>
      <xdr:spPr>
        <a:xfrm>
          <a:off x="99002850" y="16383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10</xdr:row>
      <xdr:rowOff>0</xdr:rowOff>
    </xdr:from>
    <xdr:to>
      <xdr:col>135</xdr:col>
      <xdr:colOff>0</xdr:colOff>
      <xdr:row>17</xdr:row>
      <xdr:rowOff>0</xdr:rowOff>
    </xdr:to>
    <xdr:sp>
      <xdr:nvSpPr>
        <xdr:cNvPr id="152" name="Rectangle 156"/>
        <xdr:cNvSpPr>
          <a:spLocks/>
        </xdr:cNvSpPr>
      </xdr:nvSpPr>
      <xdr:spPr>
        <a:xfrm>
          <a:off x="99002850" y="16383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9</xdr:row>
      <xdr:rowOff>0</xdr:rowOff>
    </xdr:from>
    <xdr:to>
      <xdr:col>142</xdr:col>
      <xdr:colOff>0</xdr:colOff>
      <xdr:row>17</xdr:row>
      <xdr:rowOff>0</xdr:rowOff>
    </xdr:to>
    <xdr:sp>
      <xdr:nvSpPr>
        <xdr:cNvPr id="153" name="Rectangle 157"/>
        <xdr:cNvSpPr>
          <a:spLocks/>
        </xdr:cNvSpPr>
      </xdr:nvSpPr>
      <xdr:spPr>
        <a:xfrm>
          <a:off x="10266997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9</xdr:row>
      <xdr:rowOff>0</xdr:rowOff>
    </xdr:from>
    <xdr:to>
      <xdr:col>139</xdr:col>
      <xdr:colOff>0</xdr:colOff>
      <xdr:row>17</xdr:row>
      <xdr:rowOff>0</xdr:rowOff>
    </xdr:to>
    <xdr:sp>
      <xdr:nvSpPr>
        <xdr:cNvPr id="154" name="Rectangle 158"/>
        <xdr:cNvSpPr>
          <a:spLocks/>
        </xdr:cNvSpPr>
      </xdr:nvSpPr>
      <xdr:spPr>
        <a:xfrm>
          <a:off x="101622225" y="14668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9</xdr:row>
      <xdr:rowOff>0</xdr:rowOff>
    </xdr:from>
    <xdr:to>
      <xdr:col>138</xdr:col>
      <xdr:colOff>0</xdr:colOff>
      <xdr:row>17</xdr:row>
      <xdr:rowOff>0</xdr:rowOff>
    </xdr:to>
    <xdr:sp>
      <xdr:nvSpPr>
        <xdr:cNvPr id="155" name="Rectangle 159"/>
        <xdr:cNvSpPr>
          <a:spLocks/>
        </xdr:cNvSpPr>
      </xdr:nvSpPr>
      <xdr:spPr>
        <a:xfrm>
          <a:off x="99679125" y="14668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9</xdr:row>
      <xdr:rowOff>0</xdr:rowOff>
    </xdr:from>
    <xdr:to>
      <xdr:col>135</xdr:col>
      <xdr:colOff>0</xdr:colOff>
      <xdr:row>17</xdr:row>
      <xdr:rowOff>0</xdr:rowOff>
    </xdr:to>
    <xdr:sp>
      <xdr:nvSpPr>
        <xdr:cNvPr id="156" name="Rectangle 160"/>
        <xdr:cNvSpPr>
          <a:spLocks/>
        </xdr:cNvSpPr>
      </xdr:nvSpPr>
      <xdr:spPr>
        <a:xfrm>
          <a:off x="99002850" y="14668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10</xdr:col>
      <xdr:colOff>0</xdr:colOff>
      <xdr:row>27</xdr:row>
      <xdr:rowOff>0</xdr:rowOff>
    </xdr:to>
    <xdr:sp>
      <xdr:nvSpPr>
        <xdr:cNvPr id="157" name="Rectangle 161"/>
        <xdr:cNvSpPr>
          <a:spLocks/>
        </xdr:cNvSpPr>
      </xdr:nvSpPr>
      <xdr:spPr>
        <a:xfrm>
          <a:off x="54102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27</xdr:row>
      <xdr:rowOff>0</xdr:rowOff>
    </xdr:to>
    <xdr:sp>
      <xdr:nvSpPr>
        <xdr:cNvPr id="158" name="Rectangle 162"/>
        <xdr:cNvSpPr>
          <a:spLocks/>
        </xdr:cNvSpPr>
      </xdr:nvSpPr>
      <xdr:spPr>
        <a:xfrm>
          <a:off x="4352925" y="3162300"/>
          <a:ext cx="1057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6</xdr:col>
      <xdr:colOff>0</xdr:colOff>
      <xdr:row>27</xdr:row>
      <xdr:rowOff>0</xdr:rowOff>
    </xdr:to>
    <xdr:sp>
      <xdr:nvSpPr>
        <xdr:cNvPr id="159" name="Rectangle 163"/>
        <xdr:cNvSpPr>
          <a:spLocks/>
        </xdr:cNvSpPr>
      </xdr:nvSpPr>
      <xdr:spPr>
        <a:xfrm>
          <a:off x="1733550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27</xdr:row>
      <xdr:rowOff>0</xdr:rowOff>
    </xdr:to>
    <xdr:sp>
      <xdr:nvSpPr>
        <xdr:cNvPr id="160" name="Rectangle 164"/>
        <xdr:cNvSpPr>
          <a:spLocks/>
        </xdr:cNvSpPr>
      </xdr:nvSpPr>
      <xdr:spPr>
        <a:xfrm>
          <a:off x="17335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10</xdr:col>
      <xdr:colOff>0</xdr:colOff>
      <xdr:row>27</xdr:row>
      <xdr:rowOff>0</xdr:rowOff>
    </xdr:to>
    <xdr:sp>
      <xdr:nvSpPr>
        <xdr:cNvPr id="161" name="Rectangle 165"/>
        <xdr:cNvSpPr>
          <a:spLocks/>
        </xdr:cNvSpPr>
      </xdr:nvSpPr>
      <xdr:spPr>
        <a:xfrm>
          <a:off x="5410200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27</xdr:row>
      <xdr:rowOff>0</xdr:rowOff>
    </xdr:to>
    <xdr:sp>
      <xdr:nvSpPr>
        <xdr:cNvPr id="162" name="Rectangle 166"/>
        <xdr:cNvSpPr>
          <a:spLocks/>
        </xdr:cNvSpPr>
      </xdr:nvSpPr>
      <xdr:spPr>
        <a:xfrm>
          <a:off x="4352925" y="3333750"/>
          <a:ext cx="1057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6</xdr:col>
      <xdr:colOff>0</xdr:colOff>
      <xdr:row>27</xdr:row>
      <xdr:rowOff>0</xdr:rowOff>
    </xdr:to>
    <xdr:sp>
      <xdr:nvSpPr>
        <xdr:cNvPr id="163" name="Rectangle 167"/>
        <xdr:cNvSpPr>
          <a:spLocks/>
        </xdr:cNvSpPr>
      </xdr:nvSpPr>
      <xdr:spPr>
        <a:xfrm>
          <a:off x="1733550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27</xdr:row>
      <xdr:rowOff>0</xdr:rowOff>
    </xdr:to>
    <xdr:sp>
      <xdr:nvSpPr>
        <xdr:cNvPr id="164" name="Rectangle 168"/>
        <xdr:cNvSpPr>
          <a:spLocks/>
        </xdr:cNvSpPr>
      </xdr:nvSpPr>
      <xdr:spPr>
        <a:xfrm>
          <a:off x="1733550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10</xdr:col>
      <xdr:colOff>0</xdr:colOff>
      <xdr:row>27</xdr:row>
      <xdr:rowOff>0</xdr:rowOff>
    </xdr:to>
    <xdr:sp>
      <xdr:nvSpPr>
        <xdr:cNvPr id="165" name="Rectangle 169"/>
        <xdr:cNvSpPr>
          <a:spLocks/>
        </xdr:cNvSpPr>
      </xdr:nvSpPr>
      <xdr:spPr>
        <a:xfrm>
          <a:off x="54102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27</xdr:row>
      <xdr:rowOff>0</xdr:rowOff>
    </xdr:to>
    <xdr:sp>
      <xdr:nvSpPr>
        <xdr:cNvPr id="166" name="Rectangle 170"/>
        <xdr:cNvSpPr>
          <a:spLocks/>
        </xdr:cNvSpPr>
      </xdr:nvSpPr>
      <xdr:spPr>
        <a:xfrm>
          <a:off x="4352925" y="3162300"/>
          <a:ext cx="1057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0</xdr:colOff>
      <xdr:row>27</xdr:row>
      <xdr:rowOff>0</xdr:rowOff>
    </xdr:to>
    <xdr:sp>
      <xdr:nvSpPr>
        <xdr:cNvPr id="167" name="Rectangle 171"/>
        <xdr:cNvSpPr>
          <a:spLocks/>
        </xdr:cNvSpPr>
      </xdr:nvSpPr>
      <xdr:spPr>
        <a:xfrm>
          <a:off x="24098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27</xdr:row>
      <xdr:rowOff>0</xdr:rowOff>
    </xdr:to>
    <xdr:sp>
      <xdr:nvSpPr>
        <xdr:cNvPr id="168" name="Rectangle 172"/>
        <xdr:cNvSpPr>
          <a:spLocks/>
        </xdr:cNvSpPr>
      </xdr:nvSpPr>
      <xdr:spPr>
        <a:xfrm>
          <a:off x="17335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21</xdr:col>
      <xdr:colOff>0</xdr:colOff>
      <xdr:row>27</xdr:row>
      <xdr:rowOff>0</xdr:rowOff>
    </xdr:to>
    <xdr:sp>
      <xdr:nvSpPr>
        <xdr:cNvPr id="169" name="Rectangle 173"/>
        <xdr:cNvSpPr>
          <a:spLocks/>
        </xdr:cNvSpPr>
      </xdr:nvSpPr>
      <xdr:spPr>
        <a:xfrm>
          <a:off x="135159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18</xdr:col>
      <xdr:colOff>0</xdr:colOff>
      <xdr:row>27</xdr:row>
      <xdr:rowOff>0</xdr:rowOff>
    </xdr:to>
    <xdr:sp>
      <xdr:nvSpPr>
        <xdr:cNvPr id="170" name="Rectangle 174"/>
        <xdr:cNvSpPr>
          <a:spLocks/>
        </xdr:cNvSpPr>
      </xdr:nvSpPr>
      <xdr:spPr>
        <a:xfrm>
          <a:off x="124682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17</xdr:col>
      <xdr:colOff>0</xdr:colOff>
      <xdr:row>27</xdr:row>
      <xdr:rowOff>0</xdr:rowOff>
    </xdr:to>
    <xdr:sp>
      <xdr:nvSpPr>
        <xdr:cNvPr id="171" name="Rectangle 175"/>
        <xdr:cNvSpPr>
          <a:spLocks/>
        </xdr:cNvSpPr>
      </xdr:nvSpPr>
      <xdr:spPr>
        <a:xfrm>
          <a:off x="9848850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14</xdr:col>
      <xdr:colOff>0</xdr:colOff>
      <xdr:row>27</xdr:row>
      <xdr:rowOff>0</xdr:rowOff>
    </xdr:to>
    <xdr:sp>
      <xdr:nvSpPr>
        <xdr:cNvPr id="172" name="Rectangle 176"/>
        <xdr:cNvSpPr>
          <a:spLocks/>
        </xdr:cNvSpPr>
      </xdr:nvSpPr>
      <xdr:spPr>
        <a:xfrm>
          <a:off x="98488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21</xdr:col>
      <xdr:colOff>0</xdr:colOff>
      <xdr:row>27</xdr:row>
      <xdr:rowOff>0</xdr:rowOff>
    </xdr:to>
    <xdr:sp>
      <xdr:nvSpPr>
        <xdr:cNvPr id="173" name="Rectangle 177"/>
        <xdr:cNvSpPr>
          <a:spLocks/>
        </xdr:cNvSpPr>
      </xdr:nvSpPr>
      <xdr:spPr>
        <a:xfrm>
          <a:off x="13515975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0</xdr:colOff>
      <xdr:row>27</xdr:row>
      <xdr:rowOff>0</xdr:rowOff>
    </xdr:to>
    <xdr:sp>
      <xdr:nvSpPr>
        <xdr:cNvPr id="174" name="Rectangle 178"/>
        <xdr:cNvSpPr>
          <a:spLocks/>
        </xdr:cNvSpPr>
      </xdr:nvSpPr>
      <xdr:spPr>
        <a:xfrm>
          <a:off x="12468225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17</xdr:col>
      <xdr:colOff>0</xdr:colOff>
      <xdr:row>27</xdr:row>
      <xdr:rowOff>0</xdr:rowOff>
    </xdr:to>
    <xdr:sp>
      <xdr:nvSpPr>
        <xdr:cNvPr id="175" name="Rectangle 179"/>
        <xdr:cNvSpPr>
          <a:spLocks/>
        </xdr:cNvSpPr>
      </xdr:nvSpPr>
      <xdr:spPr>
        <a:xfrm>
          <a:off x="9848850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0</xdr:colOff>
      <xdr:row>27</xdr:row>
      <xdr:rowOff>0</xdr:rowOff>
    </xdr:to>
    <xdr:sp>
      <xdr:nvSpPr>
        <xdr:cNvPr id="176" name="Rectangle 180"/>
        <xdr:cNvSpPr>
          <a:spLocks/>
        </xdr:cNvSpPr>
      </xdr:nvSpPr>
      <xdr:spPr>
        <a:xfrm>
          <a:off x="9848850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21</xdr:col>
      <xdr:colOff>0</xdr:colOff>
      <xdr:row>27</xdr:row>
      <xdr:rowOff>0</xdr:rowOff>
    </xdr:to>
    <xdr:sp>
      <xdr:nvSpPr>
        <xdr:cNvPr id="177" name="Rectangle 181"/>
        <xdr:cNvSpPr>
          <a:spLocks/>
        </xdr:cNvSpPr>
      </xdr:nvSpPr>
      <xdr:spPr>
        <a:xfrm>
          <a:off x="135159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18</xdr:col>
      <xdr:colOff>0</xdr:colOff>
      <xdr:row>27</xdr:row>
      <xdr:rowOff>0</xdr:rowOff>
    </xdr:to>
    <xdr:sp>
      <xdr:nvSpPr>
        <xdr:cNvPr id="178" name="Rectangle 182"/>
        <xdr:cNvSpPr>
          <a:spLocks/>
        </xdr:cNvSpPr>
      </xdr:nvSpPr>
      <xdr:spPr>
        <a:xfrm>
          <a:off x="124682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17</xdr:col>
      <xdr:colOff>0</xdr:colOff>
      <xdr:row>27</xdr:row>
      <xdr:rowOff>0</xdr:rowOff>
    </xdr:to>
    <xdr:sp>
      <xdr:nvSpPr>
        <xdr:cNvPr id="179" name="Rectangle 183"/>
        <xdr:cNvSpPr>
          <a:spLocks/>
        </xdr:cNvSpPr>
      </xdr:nvSpPr>
      <xdr:spPr>
        <a:xfrm>
          <a:off x="105251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14</xdr:col>
      <xdr:colOff>0</xdr:colOff>
      <xdr:row>27</xdr:row>
      <xdr:rowOff>0</xdr:rowOff>
    </xdr:to>
    <xdr:sp>
      <xdr:nvSpPr>
        <xdr:cNvPr id="180" name="Rectangle 184"/>
        <xdr:cNvSpPr>
          <a:spLocks/>
        </xdr:cNvSpPr>
      </xdr:nvSpPr>
      <xdr:spPr>
        <a:xfrm>
          <a:off x="98488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32</xdr:col>
      <xdr:colOff>0</xdr:colOff>
      <xdr:row>27</xdr:row>
      <xdr:rowOff>0</xdr:rowOff>
    </xdr:to>
    <xdr:sp>
      <xdr:nvSpPr>
        <xdr:cNvPr id="181" name="Rectangle 185"/>
        <xdr:cNvSpPr>
          <a:spLocks/>
        </xdr:cNvSpPr>
      </xdr:nvSpPr>
      <xdr:spPr>
        <a:xfrm>
          <a:off x="2162175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27</xdr:row>
      <xdr:rowOff>0</xdr:rowOff>
    </xdr:to>
    <xdr:sp>
      <xdr:nvSpPr>
        <xdr:cNvPr id="182" name="Rectangle 186"/>
        <xdr:cNvSpPr>
          <a:spLocks/>
        </xdr:cNvSpPr>
      </xdr:nvSpPr>
      <xdr:spPr>
        <a:xfrm>
          <a:off x="2057400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28</xdr:col>
      <xdr:colOff>0</xdr:colOff>
      <xdr:row>27</xdr:row>
      <xdr:rowOff>0</xdr:rowOff>
    </xdr:to>
    <xdr:sp>
      <xdr:nvSpPr>
        <xdr:cNvPr id="183" name="Rectangle 187"/>
        <xdr:cNvSpPr>
          <a:spLocks/>
        </xdr:cNvSpPr>
      </xdr:nvSpPr>
      <xdr:spPr>
        <a:xfrm>
          <a:off x="17954625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27</xdr:row>
      <xdr:rowOff>0</xdr:rowOff>
    </xdr:to>
    <xdr:sp>
      <xdr:nvSpPr>
        <xdr:cNvPr id="184" name="Rectangle 188"/>
        <xdr:cNvSpPr>
          <a:spLocks/>
        </xdr:cNvSpPr>
      </xdr:nvSpPr>
      <xdr:spPr>
        <a:xfrm>
          <a:off x="179546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32</xdr:col>
      <xdr:colOff>0</xdr:colOff>
      <xdr:row>27</xdr:row>
      <xdr:rowOff>0</xdr:rowOff>
    </xdr:to>
    <xdr:sp>
      <xdr:nvSpPr>
        <xdr:cNvPr id="185" name="Rectangle 189"/>
        <xdr:cNvSpPr>
          <a:spLocks/>
        </xdr:cNvSpPr>
      </xdr:nvSpPr>
      <xdr:spPr>
        <a:xfrm>
          <a:off x="21621750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0</xdr:colOff>
      <xdr:row>27</xdr:row>
      <xdr:rowOff>0</xdr:rowOff>
    </xdr:to>
    <xdr:sp>
      <xdr:nvSpPr>
        <xdr:cNvPr id="186" name="Rectangle 190"/>
        <xdr:cNvSpPr>
          <a:spLocks/>
        </xdr:cNvSpPr>
      </xdr:nvSpPr>
      <xdr:spPr>
        <a:xfrm>
          <a:off x="20574000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28</xdr:col>
      <xdr:colOff>0</xdr:colOff>
      <xdr:row>27</xdr:row>
      <xdr:rowOff>0</xdr:rowOff>
    </xdr:to>
    <xdr:sp>
      <xdr:nvSpPr>
        <xdr:cNvPr id="187" name="Rectangle 191"/>
        <xdr:cNvSpPr>
          <a:spLocks/>
        </xdr:cNvSpPr>
      </xdr:nvSpPr>
      <xdr:spPr>
        <a:xfrm>
          <a:off x="17954625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25</xdr:col>
      <xdr:colOff>0</xdr:colOff>
      <xdr:row>27</xdr:row>
      <xdr:rowOff>0</xdr:rowOff>
    </xdr:to>
    <xdr:sp>
      <xdr:nvSpPr>
        <xdr:cNvPr id="188" name="Rectangle 192"/>
        <xdr:cNvSpPr>
          <a:spLocks/>
        </xdr:cNvSpPr>
      </xdr:nvSpPr>
      <xdr:spPr>
        <a:xfrm>
          <a:off x="17954625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32</xdr:col>
      <xdr:colOff>0</xdr:colOff>
      <xdr:row>27</xdr:row>
      <xdr:rowOff>0</xdr:rowOff>
    </xdr:to>
    <xdr:sp>
      <xdr:nvSpPr>
        <xdr:cNvPr id="189" name="Rectangle 193"/>
        <xdr:cNvSpPr>
          <a:spLocks/>
        </xdr:cNvSpPr>
      </xdr:nvSpPr>
      <xdr:spPr>
        <a:xfrm>
          <a:off x="2162175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27</xdr:row>
      <xdr:rowOff>0</xdr:rowOff>
    </xdr:to>
    <xdr:sp>
      <xdr:nvSpPr>
        <xdr:cNvPr id="190" name="Rectangle 194"/>
        <xdr:cNvSpPr>
          <a:spLocks/>
        </xdr:cNvSpPr>
      </xdr:nvSpPr>
      <xdr:spPr>
        <a:xfrm>
          <a:off x="2057400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28</xdr:col>
      <xdr:colOff>0</xdr:colOff>
      <xdr:row>27</xdr:row>
      <xdr:rowOff>0</xdr:rowOff>
    </xdr:to>
    <xdr:sp>
      <xdr:nvSpPr>
        <xdr:cNvPr id="191" name="Rectangle 195"/>
        <xdr:cNvSpPr>
          <a:spLocks/>
        </xdr:cNvSpPr>
      </xdr:nvSpPr>
      <xdr:spPr>
        <a:xfrm>
          <a:off x="186309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25</xdr:col>
      <xdr:colOff>0</xdr:colOff>
      <xdr:row>27</xdr:row>
      <xdr:rowOff>0</xdr:rowOff>
    </xdr:to>
    <xdr:sp>
      <xdr:nvSpPr>
        <xdr:cNvPr id="192" name="Rectangle 196"/>
        <xdr:cNvSpPr>
          <a:spLocks/>
        </xdr:cNvSpPr>
      </xdr:nvSpPr>
      <xdr:spPr>
        <a:xfrm>
          <a:off x="179546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43</xdr:col>
      <xdr:colOff>0</xdr:colOff>
      <xdr:row>27</xdr:row>
      <xdr:rowOff>0</xdr:rowOff>
    </xdr:to>
    <xdr:sp>
      <xdr:nvSpPr>
        <xdr:cNvPr id="193" name="Rectangle 197"/>
        <xdr:cNvSpPr>
          <a:spLocks/>
        </xdr:cNvSpPr>
      </xdr:nvSpPr>
      <xdr:spPr>
        <a:xfrm>
          <a:off x="297275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40</xdr:col>
      <xdr:colOff>0</xdr:colOff>
      <xdr:row>27</xdr:row>
      <xdr:rowOff>0</xdr:rowOff>
    </xdr:to>
    <xdr:sp>
      <xdr:nvSpPr>
        <xdr:cNvPr id="194" name="Rectangle 198"/>
        <xdr:cNvSpPr>
          <a:spLocks/>
        </xdr:cNvSpPr>
      </xdr:nvSpPr>
      <xdr:spPr>
        <a:xfrm>
          <a:off x="2867977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39</xdr:col>
      <xdr:colOff>0</xdr:colOff>
      <xdr:row>27</xdr:row>
      <xdr:rowOff>0</xdr:rowOff>
    </xdr:to>
    <xdr:sp>
      <xdr:nvSpPr>
        <xdr:cNvPr id="195" name="Rectangle 199"/>
        <xdr:cNvSpPr>
          <a:spLocks/>
        </xdr:cNvSpPr>
      </xdr:nvSpPr>
      <xdr:spPr>
        <a:xfrm>
          <a:off x="26060400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36</xdr:col>
      <xdr:colOff>0</xdr:colOff>
      <xdr:row>27</xdr:row>
      <xdr:rowOff>0</xdr:rowOff>
    </xdr:to>
    <xdr:sp>
      <xdr:nvSpPr>
        <xdr:cNvPr id="196" name="Rectangle 200"/>
        <xdr:cNvSpPr>
          <a:spLocks/>
        </xdr:cNvSpPr>
      </xdr:nvSpPr>
      <xdr:spPr>
        <a:xfrm>
          <a:off x="2606040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43</xdr:col>
      <xdr:colOff>0</xdr:colOff>
      <xdr:row>27</xdr:row>
      <xdr:rowOff>0</xdr:rowOff>
    </xdr:to>
    <xdr:sp>
      <xdr:nvSpPr>
        <xdr:cNvPr id="197" name="Rectangle 201"/>
        <xdr:cNvSpPr>
          <a:spLocks/>
        </xdr:cNvSpPr>
      </xdr:nvSpPr>
      <xdr:spPr>
        <a:xfrm>
          <a:off x="29727525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0</xdr:rowOff>
    </xdr:from>
    <xdr:to>
      <xdr:col>40</xdr:col>
      <xdr:colOff>0</xdr:colOff>
      <xdr:row>27</xdr:row>
      <xdr:rowOff>0</xdr:rowOff>
    </xdr:to>
    <xdr:sp>
      <xdr:nvSpPr>
        <xdr:cNvPr id="198" name="Rectangle 202"/>
        <xdr:cNvSpPr>
          <a:spLocks/>
        </xdr:cNvSpPr>
      </xdr:nvSpPr>
      <xdr:spPr>
        <a:xfrm>
          <a:off x="28679775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39</xdr:col>
      <xdr:colOff>0</xdr:colOff>
      <xdr:row>27</xdr:row>
      <xdr:rowOff>0</xdr:rowOff>
    </xdr:to>
    <xdr:sp>
      <xdr:nvSpPr>
        <xdr:cNvPr id="199" name="Rectangle 203"/>
        <xdr:cNvSpPr>
          <a:spLocks/>
        </xdr:cNvSpPr>
      </xdr:nvSpPr>
      <xdr:spPr>
        <a:xfrm>
          <a:off x="26060400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36</xdr:col>
      <xdr:colOff>0</xdr:colOff>
      <xdr:row>27</xdr:row>
      <xdr:rowOff>0</xdr:rowOff>
    </xdr:to>
    <xdr:sp>
      <xdr:nvSpPr>
        <xdr:cNvPr id="200" name="Rectangle 204"/>
        <xdr:cNvSpPr>
          <a:spLocks/>
        </xdr:cNvSpPr>
      </xdr:nvSpPr>
      <xdr:spPr>
        <a:xfrm>
          <a:off x="26060400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43</xdr:col>
      <xdr:colOff>0</xdr:colOff>
      <xdr:row>27</xdr:row>
      <xdr:rowOff>0</xdr:rowOff>
    </xdr:to>
    <xdr:sp>
      <xdr:nvSpPr>
        <xdr:cNvPr id="201" name="Rectangle 205"/>
        <xdr:cNvSpPr>
          <a:spLocks/>
        </xdr:cNvSpPr>
      </xdr:nvSpPr>
      <xdr:spPr>
        <a:xfrm>
          <a:off x="297275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0</xdr:rowOff>
    </xdr:from>
    <xdr:to>
      <xdr:col>40</xdr:col>
      <xdr:colOff>0</xdr:colOff>
      <xdr:row>27</xdr:row>
      <xdr:rowOff>0</xdr:rowOff>
    </xdr:to>
    <xdr:sp>
      <xdr:nvSpPr>
        <xdr:cNvPr id="202" name="Rectangle 206"/>
        <xdr:cNvSpPr>
          <a:spLocks/>
        </xdr:cNvSpPr>
      </xdr:nvSpPr>
      <xdr:spPr>
        <a:xfrm>
          <a:off x="2867977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39</xdr:col>
      <xdr:colOff>0</xdr:colOff>
      <xdr:row>27</xdr:row>
      <xdr:rowOff>0</xdr:rowOff>
    </xdr:to>
    <xdr:sp>
      <xdr:nvSpPr>
        <xdr:cNvPr id="203" name="Rectangle 207"/>
        <xdr:cNvSpPr>
          <a:spLocks/>
        </xdr:cNvSpPr>
      </xdr:nvSpPr>
      <xdr:spPr>
        <a:xfrm>
          <a:off x="267366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0</xdr:rowOff>
    </xdr:from>
    <xdr:to>
      <xdr:col>36</xdr:col>
      <xdr:colOff>0</xdr:colOff>
      <xdr:row>27</xdr:row>
      <xdr:rowOff>0</xdr:rowOff>
    </xdr:to>
    <xdr:sp>
      <xdr:nvSpPr>
        <xdr:cNvPr id="204" name="Rectangle 208"/>
        <xdr:cNvSpPr>
          <a:spLocks/>
        </xdr:cNvSpPr>
      </xdr:nvSpPr>
      <xdr:spPr>
        <a:xfrm>
          <a:off x="2606040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19</xdr:row>
      <xdr:rowOff>0</xdr:rowOff>
    </xdr:from>
    <xdr:to>
      <xdr:col>54</xdr:col>
      <xdr:colOff>0</xdr:colOff>
      <xdr:row>27</xdr:row>
      <xdr:rowOff>0</xdr:rowOff>
    </xdr:to>
    <xdr:sp>
      <xdr:nvSpPr>
        <xdr:cNvPr id="205" name="Rectangle 209"/>
        <xdr:cNvSpPr>
          <a:spLocks/>
        </xdr:cNvSpPr>
      </xdr:nvSpPr>
      <xdr:spPr>
        <a:xfrm>
          <a:off x="378333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19</xdr:row>
      <xdr:rowOff>0</xdr:rowOff>
    </xdr:from>
    <xdr:to>
      <xdr:col>51</xdr:col>
      <xdr:colOff>0</xdr:colOff>
      <xdr:row>27</xdr:row>
      <xdr:rowOff>0</xdr:rowOff>
    </xdr:to>
    <xdr:sp>
      <xdr:nvSpPr>
        <xdr:cNvPr id="206" name="Rectangle 210"/>
        <xdr:cNvSpPr>
          <a:spLocks/>
        </xdr:cNvSpPr>
      </xdr:nvSpPr>
      <xdr:spPr>
        <a:xfrm>
          <a:off x="3678555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0</xdr:rowOff>
    </xdr:from>
    <xdr:to>
      <xdr:col>50</xdr:col>
      <xdr:colOff>0</xdr:colOff>
      <xdr:row>27</xdr:row>
      <xdr:rowOff>0</xdr:rowOff>
    </xdr:to>
    <xdr:sp>
      <xdr:nvSpPr>
        <xdr:cNvPr id="207" name="Rectangle 211"/>
        <xdr:cNvSpPr>
          <a:spLocks/>
        </xdr:cNvSpPr>
      </xdr:nvSpPr>
      <xdr:spPr>
        <a:xfrm>
          <a:off x="34166175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0</xdr:rowOff>
    </xdr:from>
    <xdr:to>
      <xdr:col>47</xdr:col>
      <xdr:colOff>0</xdr:colOff>
      <xdr:row>27</xdr:row>
      <xdr:rowOff>0</xdr:rowOff>
    </xdr:to>
    <xdr:sp>
      <xdr:nvSpPr>
        <xdr:cNvPr id="208" name="Rectangle 212"/>
        <xdr:cNvSpPr>
          <a:spLocks/>
        </xdr:cNvSpPr>
      </xdr:nvSpPr>
      <xdr:spPr>
        <a:xfrm>
          <a:off x="3416617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20</xdr:row>
      <xdr:rowOff>0</xdr:rowOff>
    </xdr:from>
    <xdr:to>
      <xdr:col>54</xdr:col>
      <xdr:colOff>0</xdr:colOff>
      <xdr:row>27</xdr:row>
      <xdr:rowOff>0</xdr:rowOff>
    </xdr:to>
    <xdr:sp>
      <xdr:nvSpPr>
        <xdr:cNvPr id="209" name="Rectangle 213"/>
        <xdr:cNvSpPr>
          <a:spLocks/>
        </xdr:cNvSpPr>
      </xdr:nvSpPr>
      <xdr:spPr>
        <a:xfrm>
          <a:off x="37833300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20</xdr:row>
      <xdr:rowOff>0</xdr:rowOff>
    </xdr:from>
    <xdr:to>
      <xdr:col>51</xdr:col>
      <xdr:colOff>0</xdr:colOff>
      <xdr:row>27</xdr:row>
      <xdr:rowOff>0</xdr:rowOff>
    </xdr:to>
    <xdr:sp>
      <xdr:nvSpPr>
        <xdr:cNvPr id="210" name="Rectangle 214"/>
        <xdr:cNvSpPr>
          <a:spLocks/>
        </xdr:cNvSpPr>
      </xdr:nvSpPr>
      <xdr:spPr>
        <a:xfrm>
          <a:off x="36785550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50</xdr:col>
      <xdr:colOff>0</xdr:colOff>
      <xdr:row>27</xdr:row>
      <xdr:rowOff>0</xdr:rowOff>
    </xdr:to>
    <xdr:sp>
      <xdr:nvSpPr>
        <xdr:cNvPr id="211" name="Rectangle 215"/>
        <xdr:cNvSpPr>
          <a:spLocks/>
        </xdr:cNvSpPr>
      </xdr:nvSpPr>
      <xdr:spPr>
        <a:xfrm>
          <a:off x="34166175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47</xdr:col>
      <xdr:colOff>0</xdr:colOff>
      <xdr:row>27</xdr:row>
      <xdr:rowOff>0</xdr:rowOff>
    </xdr:to>
    <xdr:sp>
      <xdr:nvSpPr>
        <xdr:cNvPr id="212" name="Rectangle 216"/>
        <xdr:cNvSpPr>
          <a:spLocks/>
        </xdr:cNvSpPr>
      </xdr:nvSpPr>
      <xdr:spPr>
        <a:xfrm>
          <a:off x="34166175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19</xdr:row>
      <xdr:rowOff>0</xdr:rowOff>
    </xdr:from>
    <xdr:to>
      <xdr:col>54</xdr:col>
      <xdr:colOff>0</xdr:colOff>
      <xdr:row>27</xdr:row>
      <xdr:rowOff>0</xdr:rowOff>
    </xdr:to>
    <xdr:sp>
      <xdr:nvSpPr>
        <xdr:cNvPr id="213" name="Rectangle 217"/>
        <xdr:cNvSpPr>
          <a:spLocks/>
        </xdr:cNvSpPr>
      </xdr:nvSpPr>
      <xdr:spPr>
        <a:xfrm>
          <a:off x="378333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19</xdr:row>
      <xdr:rowOff>0</xdr:rowOff>
    </xdr:from>
    <xdr:to>
      <xdr:col>51</xdr:col>
      <xdr:colOff>0</xdr:colOff>
      <xdr:row>27</xdr:row>
      <xdr:rowOff>0</xdr:rowOff>
    </xdr:to>
    <xdr:sp>
      <xdr:nvSpPr>
        <xdr:cNvPr id="214" name="Rectangle 218"/>
        <xdr:cNvSpPr>
          <a:spLocks/>
        </xdr:cNvSpPr>
      </xdr:nvSpPr>
      <xdr:spPr>
        <a:xfrm>
          <a:off x="3678555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50</xdr:col>
      <xdr:colOff>0</xdr:colOff>
      <xdr:row>27</xdr:row>
      <xdr:rowOff>0</xdr:rowOff>
    </xdr:to>
    <xdr:sp>
      <xdr:nvSpPr>
        <xdr:cNvPr id="215" name="Rectangle 219"/>
        <xdr:cNvSpPr>
          <a:spLocks/>
        </xdr:cNvSpPr>
      </xdr:nvSpPr>
      <xdr:spPr>
        <a:xfrm>
          <a:off x="3484245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0</xdr:rowOff>
    </xdr:from>
    <xdr:to>
      <xdr:col>47</xdr:col>
      <xdr:colOff>0</xdr:colOff>
      <xdr:row>27</xdr:row>
      <xdr:rowOff>0</xdr:rowOff>
    </xdr:to>
    <xdr:sp>
      <xdr:nvSpPr>
        <xdr:cNvPr id="216" name="Rectangle 220"/>
        <xdr:cNvSpPr>
          <a:spLocks/>
        </xdr:cNvSpPr>
      </xdr:nvSpPr>
      <xdr:spPr>
        <a:xfrm>
          <a:off x="3416617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27</xdr:row>
      <xdr:rowOff>0</xdr:rowOff>
    </xdr:to>
    <xdr:sp>
      <xdr:nvSpPr>
        <xdr:cNvPr id="217" name="Rectangle 221"/>
        <xdr:cNvSpPr>
          <a:spLocks/>
        </xdr:cNvSpPr>
      </xdr:nvSpPr>
      <xdr:spPr>
        <a:xfrm>
          <a:off x="459390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19</xdr:row>
      <xdr:rowOff>0</xdr:rowOff>
    </xdr:from>
    <xdr:to>
      <xdr:col>62</xdr:col>
      <xdr:colOff>0</xdr:colOff>
      <xdr:row>27</xdr:row>
      <xdr:rowOff>0</xdr:rowOff>
    </xdr:to>
    <xdr:sp>
      <xdr:nvSpPr>
        <xdr:cNvPr id="218" name="Rectangle 222"/>
        <xdr:cNvSpPr>
          <a:spLocks/>
        </xdr:cNvSpPr>
      </xdr:nvSpPr>
      <xdr:spPr>
        <a:xfrm>
          <a:off x="448913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61</xdr:col>
      <xdr:colOff>0</xdr:colOff>
      <xdr:row>27</xdr:row>
      <xdr:rowOff>0</xdr:rowOff>
    </xdr:to>
    <xdr:sp>
      <xdr:nvSpPr>
        <xdr:cNvPr id="219" name="Rectangle 223"/>
        <xdr:cNvSpPr>
          <a:spLocks/>
        </xdr:cNvSpPr>
      </xdr:nvSpPr>
      <xdr:spPr>
        <a:xfrm>
          <a:off x="42271950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58</xdr:col>
      <xdr:colOff>0</xdr:colOff>
      <xdr:row>27</xdr:row>
      <xdr:rowOff>0</xdr:rowOff>
    </xdr:to>
    <xdr:sp>
      <xdr:nvSpPr>
        <xdr:cNvPr id="220" name="Rectangle 224"/>
        <xdr:cNvSpPr>
          <a:spLocks/>
        </xdr:cNvSpPr>
      </xdr:nvSpPr>
      <xdr:spPr>
        <a:xfrm>
          <a:off x="422719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27</xdr:row>
      <xdr:rowOff>0</xdr:rowOff>
    </xdr:to>
    <xdr:sp>
      <xdr:nvSpPr>
        <xdr:cNvPr id="221" name="Rectangle 225"/>
        <xdr:cNvSpPr>
          <a:spLocks/>
        </xdr:cNvSpPr>
      </xdr:nvSpPr>
      <xdr:spPr>
        <a:xfrm>
          <a:off x="45939075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62</xdr:col>
      <xdr:colOff>0</xdr:colOff>
      <xdr:row>27</xdr:row>
      <xdr:rowOff>0</xdr:rowOff>
    </xdr:to>
    <xdr:sp>
      <xdr:nvSpPr>
        <xdr:cNvPr id="222" name="Rectangle 226"/>
        <xdr:cNvSpPr>
          <a:spLocks/>
        </xdr:cNvSpPr>
      </xdr:nvSpPr>
      <xdr:spPr>
        <a:xfrm>
          <a:off x="44891325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61</xdr:col>
      <xdr:colOff>0</xdr:colOff>
      <xdr:row>27</xdr:row>
      <xdr:rowOff>0</xdr:rowOff>
    </xdr:to>
    <xdr:sp>
      <xdr:nvSpPr>
        <xdr:cNvPr id="223" name="Rectangle 227"/>
        <xdr:cNvSpPr>
          <a:spLocks/>
        </xdr:cNvSpPr>
      </xdr:nvSpPr>
      <xdr:spPr>
        <a:xfrm>
          <a:off x="42271950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58</xdr:col>
      <xdr:colOff>0</xdr:colOff>
      <xdr:row>27</xdr:row>
      <xdr:rowOff>0</xdr:rowOff>
    </xdr:to>
    <xdr:sp>
      <xdr:nvSpPr>
        <xdr:cNvPr id="224" name="Rectangle 228"/>
        <xdr:cNvSpPr>
          <a:spLocks/>
        </xdr:cNvSpPr>
      </xdr:nvSpPr>
      <xdr:spPr>
        <a:xfrm>
          <a:off x="42271950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27</xdr:row>
      <xdr:rowOff>0</xdr:rowOff>
    </xdr:to>
    <xdr:sp>
      <xdr:nvSpPr>
        <xdr:cNvPr id="225" name="Rectangle 229"/>
        <xdr:cNvSpPr>
          <a:spLocks/>
        </xdr:cNvSpPr>
      </xdr:nvSpPr>
      <xdr:spPr>
        <a:xfrm>
          <a:off x="459390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19</xdr:row>
      <xdr:rowOff>0</xdr:rowOff>
    </xdr:from>
    <xdr:to>
      <xdr:col>62</xdr:col>
      <xdr:colOff>0</xdr:colOff>
      <xdr:row>27</xdr:row>
      <xdr:rowOff>0</xdr:rowOff>
    </xdr:to>
    <xdr:sp>
      <xdr:nvSpPr>
        <xdr:cNvPr id="226" name="Rectangle 230"/>
        <xdr:cNvSpPr>
          <a:spLocks/>
        </xdr:cNvSpPr>
      </xdr:nvSpPr>
      <xdr:spPr>
        <a:xfrm>
          <a:off x="448913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61</xdr:col>
      <xdr:colOff>0</xdr:colOff>
      <xdr:row>27</xdr:row>
      <xdr:rowOff>0</xdr:rowOff>
    </xdr:to>
    <xdr:sp>
      <xdr:nvSpPr>
        <xdr:cNvPr id="227" name="Rectangle 231"/>
        <xdr:cNvSpPr>
          <a:spLocks/>
        </xdr:cNvSpPr>
      </xdr:nvSpPr>
      <xdr:spPr>
        <a:xfrm>
          <a:off x="429482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58</xdr:col>
      <xdr:colOff>0</xdr:colOff>
      <xdr:row>27</xdr:row>
      <xdr:rowOff>0</xdr:rowOff>
    </xdr:to>
    <xdr:sp>
      <xdr:nvSpPr>
        <xdr:cNvPr id="228" name="Rectangle 232"/>
        <xdr:cNvSpPr>
          <a:spLocks/>
        </xdr:cNvSpPr>
      </xdr:nvSpPr>
      <xdr:spPr>
        <a:xfrm>
          <a:off x="422719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19</xdr:row>
      <xdr:rowOff>0</xdr:rowOff>
    </xdr:from>
    <xdr:to>
      <xdr:col>76</xdr:col>
      <xdr:colOff>0</xdr:colOff>
      <xdr:row>27</xdr:row>
      <xdr:rowOff>0</xdr:rowOff>
    </xdr:to>
    <xdr:sp>
      <xdr:nvSpPr>
        <xdr:cNvPr id="229" name="Rectangle 233"/>
        <xdr:cNvSpPr>
          <a:spLocks/>
        </xdr:cNvSpPr>
      </xdr:nvSpPr>
      <xdr:spPr>
        <a:xfrm>
          <a:off x="540353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0</xdr:rowOff>
    </xdr:from>
    <xdr:to>
      <xdr:col>73</xdr:col>
      <xdr:colOff>0</xdr:colOff>
      <xdr:row>27</xdr:row>
      <xdr:rowOff>0</xdr:rowOff>
    </xdr:to>
    <xdr:sp>
      <xdr:nvSpPr>
        <xdr:cNvPr id="230" name="Rectangle 234"/>
        <xdr:cNvSpPr>
          <a:spLocks/>
        </xdr:cNvSpPr>
      </xdr:nvSpPr>
      <xdr:spPr>
        <a:xfrm>
          <a:off x="52997100" y="3162300"/>
          <a:ext cx="103822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0</xdr:rowOff>
    </xdr:from>
    <xdr:to>
      <xdr:col>72</xdr:col>
      <xdr:colOff>0</xdr:colOff>
      <xdr:row>27</xdr:row>
      <xdr:rowOff>0</xdr:rowOff>
    </xdr:to>
    <xdr:sp>
      <xdr:nvSpPr>
        <xdr:cNvPr id="231" name="Rectangle 235"/>
        <xdr:cNvSpPr>
          <a:spLocks/>
        </xdr:cNvSpPr>
      </xdr:nvSpPr>
      <xdr:spPr>
        <a:xfrm>
          <a:off x="50377725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0</xdr:rowOff>
    </xdr:from>
    <xdr:to>
      <xdr:col>69</xdr:col>
      <xdr:colOff>0</xdr:colOff>
      <xdr:row>27</xdr:row>
      <xdr:rowOff>0</xdr:rowOff>
    </xdr:to>
    <xdr:sp>
      <xdr:nvSpPr>
        <xdr:cNvPr id="232" name="Rectangle 236"/>
        <xdr:cNvSpPr>
          <a:spLocks/>
        </xdr:cNvSpPr>
      </xdr:nvSpPr>
      <xdr:spPr>
        <a:xfrm>
          <a:off x="503777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20</xdr:row>
      <xdr:rowOff>0</xdr:rowOff>
    </xdr:from>
    <xdr:to>
      <xdr:col>76</xdr:col>
      <xdr:colOff>0</xdr:colOff>
      <xdr:row>27</xdr:row>
      <xdr:rowOff>0</xdr:rowOff>
    </xdr:to>
    <xdr:sp>
      <xdr:nvSpPr>
        <xdr:cNvPr id="233" name="Rectangle 237"/>
        <xdr:cNvSpPr>
          <a:spLocks/>
        </xdr:cNvSpPr>
      </xdr:nvSpPr>
      <xdr:spPr>
        <a:xfrm>
          <a:off x="54035325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20</xdr:row>
      <xdr:rowOff>0</xdr:rowOff>
    </xdr:from>
    <xdr:to>
      <xdr:col>73</xdr:col>
      <xdr:colOff>0</xdr:colOff>
      <xdr:row>27</xdr:row>
      <xdr:rowOff>0</xdr:rowOff>
    </xdr:to>
    <xdr:sp>
      <xdr:nvSpPr>
        <xdr:cNvPr id="234" name="Rectangle 238"/>
        <xdr:cNvSpPr>
          <a:spLocks/>
        </xdr:cNvSpPr>
      </xdr:nvSpPr>
      <xdr:spPr>
        <a:xfrm>
          <a:off x="52997100" y="3333750"/>
          <a:ext cx="103822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20</xdr:row>
      <xdr:rowOff>0</xdr:rowOff>
    </xdr:from>
    <xdr:to>
      <xdr:col>72</xdr:col>
      <xdr:colOff>0</xdr:colOff>
      <xdr:row>27</xdr:row>
      <xdr:rowOff>0</xdr:rowOff>
    </xdr:to>
    <xdr:sp>
      <xdr:nvSpPr>
        <xdr:cNvPr id="235" name="Rectangle 239"/>
        <xdr:cNvSpPr>
          <a:spLocks/>
        </xdr:cNvSpPr>
      </xdr:nvSpPr>
      <xdr:spPr>
        <a:xfrm>
          <a:off x="50377725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20</xdr:row>
      <xdr:rowOff>0</xdr:rowOff>
    </xdr:from>
    <xdr:to>
      <xdr:col>69</xdr:col>
      <xdr:colOff>0</xdr:colOff>
      <xdr:row>27</xdr:row>
      <xdr:rowOff>0</xdr:rowOff>
    </xdr:to>
    <xdr:sp>
      <xdr:nvSpPr>
        <xdr:cNvPr id="236" name="Rectangle 240"/>
        <xdr:cNvSpPr>
          <a:spLocks/>
        </xdr:cNvSpPr>
      </xdr:nvSpPr>
      <xdr:spPr>
        <a:xfrm>
          <a:off x="50377725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19</xdr:row>
      <xdr:rowOff>0</xdr:rowOff>
    </xdr:from>
    <xdr:to>
      <xdr:col>76</xdr:col>
      <xdr:colOff>0</xdr:colOff>
      <xdr:row>27</xdr:row>
      <xdr:rowOff>0</xdr:rowOff>
    </xdr:to>
    <xdr:sp>
      <xdr:nvSpPr>
        <xdr:cNvPr id="237" name="Rectangle 241"/>
        <xdr:cNvSpPr>
          <a:spLocks/>
        </xdr:cNvSpPr>
      </xdr:nvSpPr>
      <xdr:spPr>
        <a:xfrm>
          <a:off x="540353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0</xdr:rowOff>
    </xdr:from>
    <xdr:to>
      <xdr:col>73</xdr:col>
      <xdr:colOff>0</xdr:colOff>
      <xdr:row>27</xdr:row>
      <xdr:rowOff>0</xdr:rowOff>
    </xdr:to>
    <xdr:sp>
      <xdr:nvSpPr>
        <xdr:cNvPr id="238" name="Rectangle 242"/>
        <xdr:cNvSpPr>
          <a:spLocks/>
        </xdr:cNvSpPr>
      </xdr:nvSpPr>
      <xdr:spPr>
        <a:xfrm>
          <a:off x="52997100" y="3162300"/>
          <a:ext cx="103822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19</xdr:row>
      <xdr:rowOff>0</xdr:rowOff>
    </xdr:from>
    <xdr:to>
      <xdr:col>72</xdr:col>
      <xdr:colOff>0</xdr:colOff>
      <xdr:row>27</xdr:row>
      <xdr:rowOff>0</xdr:rowOff>
    </xdr:to>
    <xdr:sp>
      <xdr:nvSpPr>
        <xdr:cNvPr id="239" name="Rectangle 243"/>
        <xdr:cNvSpPr>
          <a:spLocks/>
        </xdr:cNvSpPr>
      </xdr:nvSpPr>
      <xdr:spPr>
        <a:xfrm>
          <a:off x="510540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0</xdr:rowOff>
    </xdr:from>
    <xdr:to>
      <xdr:col>69</xdr:col>
      <xdr:colOff>0</xdr:colOff>
      <xdr:row>27</xdr:row>
      <xdr:rowOff>0</xdr:rowOff>
    </xdr:to>
    <xdr:sp>
      <xdr:nvSpPr>
        <xdr:cNvPr id="240" name="Rectangle 244"/>
        <xdr:cNvSpPr>
          <a:spLocks/>
        </xdr:cNvSpPr>
      </xdr:nvSpPr>
      <xdr:spPr>
        <a:xfrm>
          <a:off x="503777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19</xdr:row>
      <xdr:rowOff>0</xdr:rowOff>
    </xdr:from>
    <xdr:to>
      <xdr:col>87</xdr:col>
      <xdr:colOff>0</xdr:colOff>
      <xdr:row>27</xdr:row>
      <xdr:rowOff>0</xdr:rowOff>
    </xdr:to>
    <xdr:sp>
      <xdr:nvSpPr>
        <xdr:cNvPr id="241" name="Rectangle 245"/>
        <xdr:cNvSpPr>
          <a:spLocks/>
        </xdr:cNvSpPr>
      </xdr:nvSpPr>
      <xdr:spPr>
        <a:xfrm>
          <a:off x="621411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19</xdr:row>
      <xdr:rowOff>0</xdr:rowOff>
    </xdr:from>
    <xdr:to>
      <xdr:col>84</xdr:col>
      <xdr:colOff>0</xdr:colOff>
      <xdr:row>27</xdr:row>
      <xdr:rowOff>0</xdr:rowOff>
    </xdr:to>
    <xdr:sp>
      <xdr:nvSpPr>
        <xdr:cNvPr id="242" name="Rectangle 246"/>
        <xdr:cNvSpPr>
          <a:spLocks/>
        </xdr:cNvSpPr>
      </xdr:nvSpPr>
      <xdr:spPr>
        <a:xfrm>
          <a:off x="6109335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83</xdr:col>
      <xdr:colOff>0</xdr:colOff>
      <xdr:row>27</xdr:row>
      <xdr:rowOff>0</xdr:rowOff>
    </xdr:to>
    <xdr:sp>
      <xdr:nvSpPr>
        <xdr:cNvPr id="243" name="Rectangle 247"/>
        <xdr:cNvSpPr>
          <a:spLocks/>
        </xdr:cNvSpPr>
      </xdr:nvSpPr>
      <xdr:spPr>
        <a:xfrm>
          <a:off x="58473975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80</xdr:col>
      <xdr:colOff>0</xdr:colOff>
      <xdr:row>27</xdr:row>
      <xdr:rowOff>0</xdr:rowOff>
    </xdr:to>
    <xdr:sp>
      <xdr:nvSpPr>
        <xdr:cNvPr id="244" name="Rectangle 248"/>
        <xdr:cNvSpPr>
          <a:spLocks/>
        </xdr:cNvSpPr>
      </xdr:nvSpPr>
      <xdr:spPr>
        <a:xfrm>
          <a:off x="5847397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20</xdr:row>
      <xdr:rowOff>0</xdr:rowOff>
    </xdr:from>
    <xdr:to>
      <xdr:col>87</xdr:col>
      <xdr:colOff>0</xdr:colOff>
      <xdr:row>27</xdr:row>
      <xdr:rowOff>0</xdr:rowOff>
    </xdr:to>
    <xdr:sp>
      <xdr:nvSpPr>
        <xdr:cNvPr id="245" name="Rectangle 249"/>
        <xdr:cNvSpPr>
          <a:spLocks/>
        </xdr:cNvSpPr>
      </xdr:nvSpPr>
      <xdr:spPr>
        <a:xfrm>
          <a:off x="62141100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20</xdr:row>
      <xdr:rowOff>0</xdr:rowOff>
    </xdr:from>
    <xdr:to>
      <xdr:col>84</xdr:col>
      <xdr:colOff>0</xdr:colOff>
      <xdr:row>27</xdr:row>
      <xdr:rowOff>0</xdr:rowOff>
    </xdr:to>
    <xdr:sp>
      <xdr:nvSpPr>
        <xdr:cNvPr id="246" name="Rectangle 250"/>
        <xdr:cNvSpPr>
          <a:spLocks/>
        </xdr:cNvSpPr>
      </xdr:nvSpPr>
      <xdr:spPr>
        <a:xfrm>
          <a:off x="61093350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83</xdr:col>
      <xdr:colOff>0</xdr:colOff>
      <xdr:row>27</xdr:row>
      <xdr:rowOff>0</xdr:rowOff>
    </xdr:to>
    <xdr:sp>
      <xdr:nvSpPr>
        <xdr:cNvPr id="247" name="Rectangle 251"/>
        <xdr:cNvSpPr>
          <a:spLocks/>
        </xdr:cNvSpPr>
      </xdr:nvSpPr>
      <xdr:spPr>
        <a:xfrm>
          <a:off x="58473975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80</xdr:col>
      <xdr:colOff>0</xdr:colOff>
      <xdr:row>27</xdr:row>
      <xdr:rowOff>0</xdr:rowOff>
    </xdr:to>
    <xdr:sp>
      <xdr:nvSpPr>
        <xdr:cNvPr id="248" name="Rectangle 252"/>
        <xdr:cNvSpPr>
          <a:spLocks/>
        </xdr:cNvSpPr>
      </xdr:nvSpPr>
      <xdr:spPr>
        <a:xfrm>
          <a:off x="58473975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19</xdr:row>
      <xdr:rowOff>0</xdr:rowOff>
    </xdr:from>
    <xdr:to>
      <xdr:col>87</xdr:col>
      <xdr:colOff>0</xdr:colOff>
      <xdr:row>27</xdr:row>
      <xdr:rowOff>0</xdr:rowOff>
    </xdr:to>
    <xdr:sp>
      <xdr:nvSpPr>
        <xdr:cNvPr id="249" name="Rectangle 253"/>
        <xdr:cNvSpPr>
          <a:spLocks/>
        </xdr:cNvSpPr>
      </xdr:nvSpPr>
      <xdr:spPr>
        <a:xfrm>
          <a:off x="621411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19</xdr:row>
      <xdr:rowOff>0</xdr:rowOff>
    </xdr:from>
    <xdr:to>
      <xdr:col>84</xdr:col>
      <xdr:colOff>0</xdr:colOff>
      <xdr:row>27</xdr:row>
      <xdr:rowOff>0</xdr:rowOff>
    </xdr:to>
    <xdr:sp>
      <xdr:nvSpPr>
        <xdr:cNvPr id="250" name="Rectangle 254"/>
        <xdr:cNvSpPr>
          <a:spLocks/>
        </xdr:cNvSpPr>
      </xdr:nvSpPr>
      <xdr:spPr>
        <a:xfrm>
          <a:off x="6109335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19</xdr:row>
      <xdr:rowOff>0</xdr:rowOff>
    </xdr:from>
    <xdr:to>
      <xdr:col>83</xdr:col>
      <xdr:colOff>0</xdr:colOff>
      <xdr:row>27</xdr:row>
      <xdr:rowOff>0</xdr:rowOff>
    </xdr:to>
    <xdr:sp>
      <xdr:nvSpPr>
        <xdr:cNvPr id="251" name="Rectangle 255"/>
        <xdr:cNvSpPr>
          <a:spLocks/>
        </xdr:cNvSpPr>
      </xdr:nvSpPr>
      <xdr:spPr>
        <a:xfrm>
          <a:off x="5915025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80</xdr:col>
      <xdr:colOff>0</xdr:colOff>
      <xdr:row>27</xdr:row>
      <xdr:rowOff>0</xdr:rowOff>
    </xdr:to>
    <xdr:sp>
      <xdr:nvSpPr>
        <xdr:cNvPr id="252" name="Rectangle 256"/>
        <xdr:cNvSpPr>
          <a:spLocks/>
        </xdr:cNvSpPr>
      </xdr:nvSpPr>
      <xdr:spPr>
        <a:xfrm>
          <a:off x="5847397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19</xdr:row>
      <xdr:rowOff>0</xdr:rowOff>
    </xdr:from>
    <xdr:to>
      <xdr:col>98</xdr:col>
      <xdr:colOff>0</xdr:colOff>
      <xdr:row>27</xdr:row>
      <xdr:rowOff>0</xdr:rowOff>
    </xdr:to>
    <xdr:sp>
      <xdr:nvSpPr>
        <xdr:cNvPr id="253" name="Rectangle 257"/>
        <xdr:cNvSpPr>
          <a:spLocks/>
        </xdr:cNvSpPr>
      </xdr:nvSpPr>
      <xdr:spPr>
        <a:xfrm>
          <a:off x="702468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19</xdr:row>
      <xdr:rowOff>0</xdr:rowOff>
    </xdr:from>
    <xdr:to>
      <xdr:col>95</xdr:col>
      <xdr:colOff>0</xdr:colOff>
      <xdr:row>27</xdr:row>
      <xdr:rowOff>0</xdr:rowOff>
    </xdr:to>
    <xdr:sp>
      <xdr:nvSpPr>
        <xdr:cNvPr id="254" name="Rectangle 258"/>
        <xdr:cNvSpPr>
          <a:spLocks/>
        </xdr:cNvSpPr>
      </xdr:nvSpPr>
      <xdr:spPr>
        <a:xfrm>
          <a:off x="691991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19</xdr:row>
      <xdr:rowOff>0</xdr:rowOff>
    </xdr:from>
    <xdr:to>
      <xdr:col>94</xdr:col>
      <xdr:colOff>0</xdr:colOff>
      <xdr:row>27</xdr:row>
      <xdr:rowOff>0</xdr:rowOff>
    </xdr:to>
    <xdr:sp>
      <xdr:nvSpPr>
        <xdr:cNvPr id="255" name="Rectangle 259"/>
        <xdr:cNvSpPr>
          <a:spLocks/>
        </xdr:cNvSpPr>
      </xdr:nvSpPr>
      <xdr:spPr>
        <a:xfrm>
          <a:off x="66579750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19</xdr:row>
      <xdr:rowOff>0</xdr:rowOff>
    </xdr:from>
    <xdr:to>
      <xdr:col>91</xdr:col>
      <xdr:colOff>0</xdr:colOff>
      <xdr:row>27</xdr:row>
      <xdr:rowOff>0</xdr:rowOff>
    </xdr:to>
    <xdr:sp>
      <xdr:nvSpPr>
        <xdr:cNvPr id="256" name="Rectangle 260"/>
        <xdr:cNvSpPr>
          <a:spLocks/>
        </xdr:cNvSpPr>
      </xdr:nvSpPr>
      <xdr:spPr>
        <a:xfrm>
          <a:off x="665797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20</xdr:row>
      <xdr:rowOff>0</xdr:rowOff>
    </xdr:from>
    <xdr:to>
      <xdr:col>98</xdr:col>
      <xdr:colOff>0</xdr:colOff>
      <xdr:row>27</xdr:row>
      <xdr:rowOff>0</xdr:rowOff>
    </xdr:to>
    <xdr:sp>
      <xdr:nvSpPr>
        <xdr:cNvPr id="257" name="Rectangle 261"/>
        <xdr:cNvSpPr>
          <a:spLocks/>
        </xdr:cNvSpPr>
      </xdr:nvSpPr>
      <xdr:spPr>
        <a:xfrm>
          <a:off x="70246875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20</xdr:row>
      <xdr:rowOff>0</xdr:rowOff>
    </xdr:from>
    <xdr:to>
      <xdr:col>95</xdr:col>
      <xdr:colOff>0</xdr:colOff>
      <xdr:row>27</xdr:row>
      <xdr:rowOff>0</xdr:rowOff>
    </xdr:to>
    <xdr:sp>
      <xdr:nvSpPr>
        <xdr:cNvPr id="258" name="Rectangle 262"/>
        <xdr:cNvSpPr>
          <a:spLocks/>
        </xdr:cNvSpPr>
      </xdr:nvSpPr>
      <xdr:spPr>
        <a:xfrm>
          <a:off x="69199125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20</xdr:row>
      <xdr:rowOff>0</xdr:rowOff>
    </xdr:from>
    <xdr:to>
      <xdr:col>94</xdr:col>
      <xdr:colOff>0</xdr:colOff>
      <xdr:row>27</xdr:row>
      <xdr:rowOff>0</xdr:rowOff>
    </xdr:to>
    <xdr:sp>
      <xdr:nvSpPr>
        <xdr:cNvPr id="259" name="Rectangle 263"/>
        <xdr:cNvSpPr>
          <a:spLocks/>
        </xdr:cNvSpPr>
      </xdr:nvSpPr>
      <xdr:spPr>
        <a:xfrm>
          <a:off x="66579750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20</xdr:row>
      <xdr:rowOff>0</xdr:rowOff>
    </xdr:from>
    <xdr:to>
      <xdr:col>91</xdr:col>
      <xdr:colOff>0</xdr:colOff>
      <xdr:row>27</xdr:row>
      <xdr:rowOff>0</xdr:rowOff>
    </xdr:to>
    <xdr:sp>
      <xdr:nvSpPr>
        <xdr:cNvPr id="260" name="Rectangle 264"/>
        <xdr:cNvSpPr>
          <a:spLocks/>
        </xdr:cNvSpPr>
      </xdr:nvSpPr>
      <xdr:spPr>
        <a:xfrm>
          <a:off x="66579750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19</xdr:row>
      <xdr:rowOff>0</xdr:rowOff>
    </xdr:from>
    <xdr:to>
      <xdr:col>98</xdr:col>
      <xdr:colOff>0</xdr:colOff>
      <xdr:row>27</xdr:row>
      <xdr:rowOff>0</xdr:rowOff>
    </xdr:to>
    <xdr:sp>
      <xdr:nvSpPr>
        <xdr:cNvPr id="261" name="Rectangle 265"/>
        <xdr:cNvSpPr>
          <a:spLocks/>
        </xdr:cNvSpPr>
      </xdr:nvSpPr>
      <xdr:spPr>
        <a:xfrm>
          <a:off x="702468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19</xdr:row>
      <xdr:rowOff>0</xdr:rowOff>
    </xdr:from>
    <xdr:to>
      <xdr:col>95</xdr:col>
      <xdr:colOff>0</xdr:colOff>
      <xdr:row>27</xdr:row>
      <xdr:rowOff>0</xdr:rowOff>
    </xdr:to>
    <xdr:sp>
      <xdr:nvSpPr>
        <xdr:cNvPr id="262" name="Rectangle 266"/>
        <xdr:cNvSpPr>
          <a:spLocks/>
        </xdr:cNvSpPr>
      </xdr:nvSpPr>
      <xdr:spPr>
        <a:xfrm>
          <a:off x="691991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19</xdr:row>
      <xdr:rowOff>0</xdr:rowOff>
    </xdr:from>
    <xdr:to>
      <xdr:col>94</xdr:col>
      <xdr:colOff>0</xdr:colOff>
      <xdr:row>27</xdr:row>
      <xdr:rowOff>0</xdr:rowOff>
    </xdr:to>
    <xdr:sp>
      <xdr:nvSpPr>
        <xdr:cNvPr id="263" name="Rectangle 267"/>
        <xdr:cNvSpPr>
          <a:spLocks/>
        </xdr:cNvSpPr>
      </xdr:nvSpPr>
      <xdr:spPr>
        <a:xfrm>
          <a:off x="672560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19</xdr:row>
      <xdr:rowOff>0</xdr:rowOff>
    </xdr:from>
    <xdr:to>
      <xdr:col>91</xdr:col>
      <xdr:colOff>0</xdr:colOff>
      <xdr:row>27</xdr:row>
      <xdr:rowOff>0</xdr:rowOff>
    </xdr:to>
    <xdr:sp>
      <xdr:nvSpPr>
        <xdr:cNvPr id="264" name="Rectangle 268"/>
        <xdr:cNvSpPr>
          <a:spLocks/>
        </xdr:cNvSpPr>
      </xdr:nvSpPr>
      <xdr:spPr>
        <a:xfrm>
          <a:off x="665797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19</xdr:row>
      <xdr:rowOff>0</xdr:rowOff>
    </xdr:from>
    <xdr:to>
      <xdr:col>109</xdr:col>
      <xdr:colOff>0</xdr:colOff>
      <xdr:row>27</xdr:row>
      <xdr:rowOff>0</xdr:rowOff>
    </xdr:to>
    <xdr:sp>
      <xdr:nvSpPr>
        <xdr:cNvPr id="265" name="Rectangle 269"/>
        <xdr:cNvSpPr>
          <a:spLocks/>
        </xdr:cNvSpPr>
      </xdr:nvSpPr>
      <xdr:spPr>
        <a:xfrm>
          <a:off x="7835265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19</xdr:row>
      <xdr:rowOff>0</xdr:rowOff>
    </xdr:from>
    <xdr:to>
      <xdr:col>106</xdr:col>
      <xdr:colOff>0</xdr:colOff>
      <xdr:row>27</xdr:row>
      <xdr:rowOff>0</xdr:rowOff>
    </xdr:to>
    <xdr:sp>
      <xdr:nvSpPr>
        <xdr:cNvPr id="266" name="Rectangle 270"/>
        <xdr:cNvSpPr>
          <a:spLocks/>
        </xdr:cNvSpPr>
      </xdr:nvSpPr>
      <xdr:spPr>
        <a:xfrm>
          <a:off x="7730490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19</xdr:row>
      <xdr:rowOff>0</xdr:rowOff>
    </xdr:from>
    <xdr:to>
      <xdr:col>105</xdr:col>
      <xdr:colOff>0</xdr:colOff>
      <xdr:row>27</xdr:row>
      <xdr:rowOff>0</xdr:rowOff>
    </xdr:to>
    <xdr:sp>
      <xdr:nvSpPr>
        <xdr:cNvPr id="267" name="Rectangle 271"/>
        <xdr:cNvSpPr>
          <a:spLocks/>
        </xdr:cNvSpPr>
      </xdr:nvSpPr>
      <xdr:spPr>
        <a:xfrm>
          <a:off x="74685525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19</xdr:row>
      <xdr:rowOff>0</xdr:rowOff>
    </xdr:from>
    <xdr:to>
      <xdr:col>102</xdr:col>
      <xdr:colOff>0</xdr:colOff>
      <xdr:row>27</xdr:row>
      <xdr:rowOff>0</xdr:rowOff>
    </xdr:to>
    <xdr:sp>
      <xdr:nvSpPr>
        <xdr:cNvPr id="268" name="Rectangle 272"/>
        <xdr:cNvSpPr>
          <a:spLocks/>
        </xdr:cNvSpPr>
      </xdr:nvSpPr>
      <xdr:spPr>
        <a:xfrm>
          <a:off x="746855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20</xdr:row>
      <xdr:rowOff>0</xdr:rowOff>
    </xdr:from>
    <xdr:to>
      <xdr:col>109</xdr:col>
      <xdr:colOff>0</xdr:colOff>
      <xdr:row>27</xdr:row>
      <xdr:rowOff>0</xdr:rowOff>
    </xdr:to>
    <xdr:sp>
      <xdr:nvSpPr>
        <xdr:cNvPr id="269" name="Rectangle 273"/>
        <xdr:cNvSpPr>
          <a:spLocks/>
        </xdr:cNvSpPr>
      </xdr:nvSpPr>
      <xdr:spPr>
        <a:xfrm>
          <a:off x="78352650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20</xdr:row>
      <xdr:rowOff>0</xdr:rowOff>
    </xdr:from>
    <xdr:to>
      <xdr:col>106</xdr:col>
      <xdr:colOff>0</xdr:colOff>
      <xdr:row>27</xdr:row>
      <xdr:rowOff>0</xdr:rowOff>
    </xdr:to>
    <xdr:sp>
      <xdr:nvSpPr>
        <xdr:cNvPr id="270" name="Rectangle 274"/>
        <xdr:cNvSpPr>
          <a:spLocks/>
        </xdr:cNvSpPr>
      </xdr:nvSpPr>
      <xdr:spPr>
        <a:xfrm>
          <a:off x="77304900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20</xdr:row>
      <xdr:rowOff>0</xdr:rowOff>
    </xdr:from>
    <xdr:to>
      <xdr:col>105</xdr:col>
      <xdr:colOff>0</xdr:colOff>
      <xdr:row>27</xdr:row>
      <xdr:rowOff>0</xdr:rowOff>
    </xdr:to>
    <xdr:sp>
      <xdr:nvSpPr>
        <xdr:cNvPr id="271" name="Rectangle 275"/>
        <xdr:cNvSpPr>
          <a:spLocks/>
        </xdr:cNvSpPr>
      </xdr:nvSpPr>
      <xdr:spPr>
        <a:xfrm>
          <a:off x="74685525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20</xdr:row>
      <xdr:rowOff>0</xdr:rowOff>
    </xdr:from>
    <xdr:to>
      <xdr:col>102</xdr:col>
      <xdr:colOff>0</xdr:colOff>
      <xdr:row>27</xdr:row>
      <xdr:rowOff>0</xdr:rowOff>
    </xdr:to>
    <xdr:sp>
      <xdr:nvSpPr>
        <xdr:cNvPr id="272" name="Rectangle 276"/>
        <xdr:cNvSpPr>
          <a:spLocks/>
        </xdr:cNvSpPr>
      </xdr:nvSpPr>
      <xdr:spPr>
        <a:xfrm>
          <a:off x="74685525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19</xdr:row>
      <xdr:rowOff>0</xdr:rowOff>
    </xdr:from>
    <xdr:to>
      <xdr:col>109</xdr:col>
      <xdr:colOff>0</xdr:colOff>
      <xdr:row>27</xdr:row>
      <xdr:rowOff>0</xdr:rowOff>
    </xdr:to>
    <xdr:sp>
      <xdr:nvSpPr>
        <xdr:cNvPr id="273" name="Rectangle 277"/>
        <xdr:cNvSpPr>
          <a:spLocks/>
        </xdr:cNvSpPr>
      </xdr:nvSpPr>
      <xdr:spPr>
        <a:xfrm>
          <a:off x="7835265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19</xdr:row>
      <xdr:rowOff>0</xdr:rowOff>
    </xdr:from>
    <xdr:to>
      <xdr:col>106</xdr:col>
      <xdr:colOff>0</xdr:colOff>
      <xdr:row>27</xdr:row>
      <xdr:rowOff>0</xdr:rowOff>
    </xdr:to>
    <xdr:sp>
      <xdr:nvSpPr>
        <xdr:cNvPr id="274" name="Rectangle 278"/>
        <xdr:cNvSpPr>
          <a:spLocks/>
        </xdr:cNvSpPr>
      </xdr:nvSpPr>
      <xdr:spPr>
        <a:xfrm>
          <a:off x="7730490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0</xdr:rowOff>
    </xdr:from>
    <xdr:to>
      <xdr:col>105</xdr:col>
      <xdr:colOff>0</xdr:colOff>
      <xdr:row>27</xdr:row>
      <xdr:rowOff>0</xdr:rowOff>
    </xdr:to>
    <xdr:sp>
      <xdr:nvSpPr>
        <xdr:cNvPr id="275" name="Rectangle 279"/>
        <xdr:cNvSpPr>
          <a:spLocks/>
        </xdr:cNvSpPr>
      </xdr:nvSpPr>
      <xdr:spPr>
        <a:xfrm>
          <a:off x="753618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19</xdr:row>
      <xdr:rowOff>0</xdr:rowOff>
    </xdr:from>
    <xdr:to>
      <xdr:col>102</xdr:col>
      <xdr:colOff>0</xdr:colOff>
      <xdr:row>27</xdr:row>
      <xdr:rowOff>0</xdr:rowOff>
    </xdr:to>
    <xdr:sp>
      <xdr:nvSpPr>
        <xdr:cNvPr id="276" name="Rectangle 280"/>
        <xdr:cNvSpPr>
          <a:spLocks/>
        </xdr:cNvSpPr>
      </xdr:nvSpPr>
      <xdr:spPr>
        <a:xfrm>
          <a:off x="746855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19</xdr:row>
      <xdr:rowOff>0</xdr:rowOff>
    </xdr:from>
    <xdr:to>
      <xdr:col>120</xdr:col>
      <xdr:colOff>0</xdr:colOff>
      <xdr:row>27</xdr:row>
      <xdr:rowOff>0</xdr:rowOff>
    </xdr:to>
    <xdr:sp>
      <xdr:nvSpPr>
        <xdr:cNvPr id="277" name="Rectangle 281"/>
        <xdr:cNvSpPr>
          <a:spLocks/>
        </xdr:cNvSpPr>
      </xdr:nvSpPr>
      <xdr:spPr>
        <a:xfrm>
          <a:off x="86467950" y="3162300"/>
          <a:ext cx="19335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19</xdr:row>
      <xdr:rowOff>0</xdr:rowOff>
    </xdr:from>
    <xdr:to>
      <xdr:col>117</xdr:col>
      <xdr:colOff>0</xdr:colOff>
      <xdr:row>27</xdr:row>
      <xdr:rowOff>0</xdr:rowOff>
    </xdr:to>
    <xdr:sp>
      <xdr:nvSpPr>
        <xdr:cNvPr id="278" name="Rectangle 282"/>
        <xdr:cNvSpPr>
          <a:spLocks/>
        </xdr:cNvSpPr>
      </xdr:nvSpPr>
      <xdr:spPr>
        <a:xfrm>
          <a:off x="8542020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19</xdr:row>
      <xdr:rowOff>0</xdr:rowOff>
    </xdr:from>
    <xdr:to>
      <xdr:col>116</xdr:col>
      <xdr:colOff>0</xdr:colOff>
      <xdr:row>27</xdr:row>
      <xdr:rowOff>0</xdr:rowOff>
    </xdr:to>
    <xdr:sp>
      <xdr:nvSpPr>
        <xdr:cNvPr id="279" name="Rectangle 283"/>
        <xdr:cNvSpPr>
          <a:spLocks/>
        </xdr:cNvSpPr>
      </xdr:nvSpPr>
      <xdr:spPr>
        <a:xfrm>
          <a:off x="82800825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19</xdr:row>
      <xdr:rowOff>0</xdr:rowOff>
    </xdr:from>
    <xdr:to>
      <xdr:col>113</xdr:col>
      <xdr:colOff>0</xdr:colOff>
      <xdr:row>27</xdr:row>
      <xdr:rowOff>0</xdr:rowOff>
    </xdr:to>
    <xdr:sp>
      <xdr:nvSpPr>
        <xdr:cNvPr id="280" name="Rectangle 284"/>
        <xdr:cNvSpPr>
          <a:spLocks/>
        </xdr:cNvSpPr>
      </xdr:nvSpPr>
      <xdr:spPr>
        <a:xfrm>
          <a:off x="828008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20</xdr:row>
      <xdr:rowOff>0</xdr:rowOff>
    </xdr:from>
    <xdr:to>
      <xdr:col>120</xdr:col>
      <xdr:colOff>0</xdr:colOff>
      <xdr:row>27</xdr:row>
      <xdr:rowOff>0</xdr:rowOff>
    </xdr:to>
    <xdr:sp>
      <xdr:nvSpPr>
        <xdr:cNvPr id="281" name="Rectangle 285"/>
        <xdr:cNvSpPr>
          <a:spLocks/>
        </xdr:cNvSpPr>
      </xdr:nvSpPr>
      <xdr:spPr>
        <a:xfrm>
          <a:off x="86467950" y="3333750"/>
          <a:ext cx="19335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20</xdr:row>
      <xdr:rowOff>0</xdr:rowOff>
    </xdr:from>
    <xdr:to>
      <xdr:col>117</xdr:col>
      <xdr:colOff>0</xdr:colOff>
      <xdr:row>27</xdr:row>
      <xdr:rowOff>0</xdr:rowOff>
    </xdr:to>
    <xdr:sp>
      <xdr:nvSpPr>
        <xdr:cNvPr id="282" name="Rectangle 286"/>
        <xdr:cNvSpPr>
          <a:spLocks/>
        </xdr:cNvSpPr>
      </xdr:nvSpPr>
      <xdr:spPr>
        <a:xfrm>
          <a:off x="85420200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20</xdr:row>
      <xdr:rowOff>0</xdr:rowOff>
    </xdr:from>
    <xdr:to>
      <xdr:col>116</xdr:col>
      <xdr:colOff>0</xdr:colOff>
      <xdr:row>27</xdr:row>
      <xdr:rowOff>0</xdr:rowOff>
    </xdr:to>
    <xdr:sp>
      <xdr:nvSpPr>
        <xdr:cNvPr id="283" name="Rectangle 287"/>
        <xdr:cNvSpPr>
          <a:spLocks/>
        </xdr:cNvSpPr>
      </xdr:nvSpPr>
      <xdr:spPr>
        <a:xfrm>
          <a:off x="82800825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20</xdr:row>
      <xdr:rowOff>0</xdr:rowOff>
    </xdr:from>
    <xdr:to>
      <xdr:col>113</xdr:col>
      <xdr:colOff>0</xdr:colOff>
      <xdr:row>27</xdr:row>
      <xdr:rowOff>0</xdr:rowOff>
    </xdr:to>
    <xdr:sp>
      <xdr:nvSpPr>
        <xdr:cNvPr id="284" name="Rectangle 288"/>
        <xdr:cNvSpPr>
          <a:spLocks/>
        </xdr:cNvSpPr>
      </xdr:nvSpPr>
      <xdr:spPr>
        <a:xfrm>
          <a:off x="82800825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19</xdr:row>
      <xdr:rowOff>0</xdr:rowOff>
    </xdr:from>
    <xdr:to>
      <xdr:col>120</xdr:col>
      <xdr:colOff>0</xdr:colOff>
      <xdr:row>27</xdr:row>
      <xdr:rowOff>0</xdr:rowOff>
    </xdr:to>
    <xdr:sp>
      <xdr:nvSpPr>
        <xdr:cNvPr id="285" name="Rectangle 289"/>
        <xdr:cNvSpPr>
          <a:spLocks/>
        </xdr:cNvSpPr>
      </xdr:nvSpPr>
      <xdr:spPr>
        <a:xfrm>
          <a:off x="86467950" y="3162300"/>
          <a:ext cx="19335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19</xdr:row>
      <xdr:rowOff>0</xdr:rowOff>
    </xdr:from>
    <xdr:to>
      <xdr:col>117</xdr:col>
      <xdr:colOff>0</xdr:colOff>
      <xdr:row>27</xdr:row>
      <xdr:rowOff>0</xdr:rowOff>
    </xdr:to>
    <xdr:sp>
      <xdr:nvSpPr>
        <xdr:cNvPr id="286" name="Rectangle 290"/>
        <xdr:cNvSpPr>
          <a:spLocks/>
        </xdr:cNvSpPr>
      </xdr:nvSpPr>
      <xdr:spPr>
        <a:xfrm>
          <a:off x="8542020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19</xdr:row>
      <xdr:rowOff>0</xdr:rowOff>
    </xdr:from>
    <xdr:to>
      <xdr:col>116</xdr:col>
      <xdr:colOff>0</xdr:colOff>
      <xdr:row>27</xdr:row>
      <xdr:rowOff>0</xdr:rowOff>
    </xdr:to>
    <xdr:sp>
      <xdr:nvSpPr>
        <xdr:cNvPr id="287" name="Rectangle 291"/>
        <xdr:cNvSpPr>
          <a:spLocks/>
        </xdr:cNvSpPr>
      </xdr:nvSpPr>
      <xdr:spPr>
        <a:xfrm>
          <a:off x="834771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19</xdr:row>
      <xdr:rowOff>0</xdr:rowOff>
    </xdr:from>
    <xdr:to>
      <xdr:col>113</xdr:col>
      <xdr:colOff>0</xdr:colOff>
      <xdr:row>27</xdr:row>
      <xdr:rowOff>0</xdr:rowOff>
    </xdr:to>
    <xdr:sp>
      <xdr:nvSpPr>
        <xdr:cNvPr id="288" name="Rectangle 292"/>
        <xdr:cNvSpPr>
          <a:spLocks/>
        </xdr:cNvSpPr>
      </xdr:nvSpPr>
      <xdr:spPr>
        <a:xfrm>
          <a:off x="8280082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19</xdr:row>
      <xdr:rowOff>0</xdr:rowOff>
    </xdr:from>
    <xdr:to>
      <xdr:col>131</xdr:col>
      <xdr:colOff>0</xdr:colOff>
      <xdr:row>27</xdr:row>
      <xdr:rowOff>0</xdr:rowOff>
    </xdr:to>
    <xdr:sp>
      <xdr:nvSpPr>
        <xdr:cNvPr id="289" name="Rectangle 293"/>
        <xdr:cNvSpPr>
          <a:spLocks/>
        </xdr:cNvSpPr>
      </xdr:nvSpPr>
      <xdr:spPr>
        <a:xfrm>
          <a:off x="945642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19</xdr:row>
      <xdr:rowOff>0</xdr:rowOff>
    </xdr:from>
    <xdr:to>
      <xdr:col>128</xdr:col>
      <xdr:colOff>0</xdr:colOff>
      <xdr:row>27</xdr:row>
      <xdr:rowOff>0</xdr:rowOff>
    </xdr:to>
    <xdr:sp>
      <xdr:nvSpPr>
        <xdr:cNvPr id="290" name="Rectangle 294"/>
        <xdr:cNvSpPr>
          <a:spLocks/>
        </xdr:cNvSpPr>
      </xdr:nvSpPr>
      <xdr:spPr>
        <a:xfrm>
          <a:off x="9351645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19</xdr:row>
      <xdr:rowOff>0</xdr:rowOff>
    </xdr:from>
    <xdr:to>
      <xdr:col>127</xdr:col>
      <xdr:colOff>0</xdr:colOff>
      <xdr:row>27</xdr:row>
      <xdr:rowOff>0</xdr:rowOff>
    </xdr:to>
    <xdr:sp>
      <xdr:nvSpPr>
        <xdr:cNvPr id="291" name="Rectangle 295"/>
        <xdr:cNvSpPr>
          <a:spLocks/>
        </xdr:cNvSpPr>
      </xdr:nvSpPr>
      <xdr:spPr>
        <a:xfrm>
          <a:off x="90897075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19</xdr:row>
      <xdr:rowOff>0</xdr:rowOff>
    </xdr:from>
    <xdr:to>
      <xdr:col>124</xdr:col>
      <xdr:colOff>0</xdr:colOff>
      <xdr:row>27</xdr:row>
      <xdr:rowOff>0</xdr:rowOff>
    </xdr:to>
    <xdr:sp>
      <xdr:nvSpPr>
        <xdr:cNvPr id="292" name="Rectangle 296"/>
        <xdr:cNvSpPr>
          <a:spLocks/>
        </xdr:cNvSpPr>
      </xdr:nvSpPr>
      <xdr:spPr>
        <a:xfrm>
          <a:off x="9089707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20</xdr:row>
      <xdr:rowOff>0</xdr:rowOff>
    </xdr:from>
    <xdr:to>
      <xdr:col>131</xdr:col>
      <xdr:colOff>0</xdr:colOff>
      <xdr:row>27</xdr:row>
      <xdr:rowOff>0</xdr:rowOff>
    </xdr:to>
    <xdr:sp>
      <xdr:nvSpPr>
        <xdr:cNvPr id="293" name="Rectangle 297"/>
        <xdr:cNvSpPr>
          <a:spLocks/>
        </xdr:cNvSpPr>
      </xdr:nvSpPr>
      <xdr:spPr>
        <a:xfrm>
          <a:off x="94564200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20</xdr:row>
      <xdr:rowOff>0</xdr:rowOff>
    </xdr:from>
    <xdr:to>
      <xdr:col>128</xdr:col>
      <xdr:colOff>0</xdr:colOff>
      <xdr:row>27</xdr:row>
      <xdr:rowOff>0</xdr:rowOff>
    </xdr:to>
    <xdr:sp>
      <xdr:nvSpPr>
        <xdr:cNvPr id="294" name="Rectangle 298"/>
        <xdr:cNvSpPr>
          <a:spLocks/>
        </xdr:cNvSpPr>
      </xdr:nvSpPr>
      <xdr:spPr>
        <a:xfrm>
          <a:off x="93516450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20</xdr:row>
      <xdr:rowOff>0</xdr:rowOff>
    </xdr:from>
    <xdr:to>
      <xdr:col>127</xdr:col>
      <xdr:colOff>0</xdr:colOff>
      <xdr:row>27</xdr:row>
      <xdr:rowOff>0</xdr:rowOff>
    </xdr:to>
    <xdr:sp>
      <xdr:nvSpPr>
        <xdr:cNvPr id="295" name="Rectangle 299"/>
        <xdr:cNvSpPr>
          <a:spLocks/>
        </xdr:cNvSpPr>
      </xdr:nvSpPr>
      <xdr:spPr>
        <a:xfrm>
          <a:off x="90897075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20</xdr:row>
      <xdr:rowOff>0</xdr:rowOff>
    </xdr:from>
    <xdr:to>
      <xdr:col>124</xdr:col>
      <xdr:colOff>0</xdr:colOff>
      <xdr:row>27</xdr:row>
      <xdr:rowOff>0</xdr:rowOff>
    </xdr:to>
    <xdr:sp>
      <xdr:nvSpPr>
        <xdr:cNvPr id="296" name="Rectangle 300"/>
        <xdr:cNvSpPr>
          <a:spLocks/>
        </xdr:cNvSpPr>
      </xdr:nvSpPr>
      <xdr:spPr>
        <a:xfrm>
          <a:off x="90897075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19</xdr:row>
      <xdr:rowOff>0</xdr:rowOff>
    </xdr:from>
    <xdr:to>
      <xdr:col>131</xdr:col>
      <xdr:colOff>0</xdr:colOff>
      <xdr:row>27</xdr:row>
      <xdr:rowOff>0</xdr:rowOff>
    </xdr:to>
    <xdr:sp>
      <xdr:nvSpPr>
        <xdr:cNvPr id="297" name="Rectangle 301"/>
        <xdr:cNvSpPr>
          <a:spLocks/>
        </xdr:cNvSpPr>
      </xdr:nvSpPr>
      <xdr:spPr>
        <a:xfrm>
          <a:off x="9456420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19</xdr:row>
      <xdr:rowOff>0</xdr:rowOff>
    </xdr:from>
    <xdr:to>
      <xdr:col>128</xdr:col>
      <xdr:colOff>0</xdr:colOff>
      <xdr:row>27</xdr:row>
      <xdr:rowOff>0</xdr:rowOff>
    </xdr:to>
    <xdr:sp>
      <xdr:nvSpPr>
        <xdr:cNvPr id="298" name="Rectangle 302"/>
        <xdr:cNvSpPr>
          <a:spLocks/>
        </xdr:cNvSpPr>
      </xdr:nvSpPr>
      <xdr:spPr>
        <a:xfrm>
          <a:off x="93516450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0</xdr:colOff>
      <xdr:row>19</xdr:row>
      <xdr:rowOff>0</xdr:rowOff>
    </xdr:from>
    <xdr:to>
      <xdr:col>127</xdr:col>
      <xdr:colOff>0</xdr:colOff>
      <xdr:row>27</xdr:row>
      <xdr:rowOff>0</xdr:rowOff>
    </xdr:to>
    <xdr:sp>
      <xdr:nvSpPr>
        <xdr:cNvPr id="299" name="Rectangle 303"/>
        <xdr:cNvSpPr>
          <a:spLocks/>
        </xdr:cNvSpPr>
      </xdr:nvSpPr>
      <xdr:spPr>
        <a:xfrm>
          <a:off x="91573350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19</xdr:row>
      <xdr:rowOff>0</xdr:rowOff>
    </xdr:from>
    <xdr:to>
      <xdr:col>124</xdr:col>
      <xdr:colOff>0</xdr:colOff>
      <xdr:row>27</xdr:row>
      <xdr:rowOff>0</xdr:rowOff>
    </xdr:to>
    <xdr:sp>
      <xdr:nvSpPr>
        <xdr:cNvPr id="300" name="Rectangle 304"/>
        <xdr:cNvSpPr>
          <a:spLocks/>
        </xdr:cNvSpPr>
      </xdr:nvSpPr>
      <xdr:spPr>
        <a:xfrm>
          <a:off x="90897075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19</xdr:row>
      <xdr:rowOff>0</xdr:rowOff>
    </xdr:from>
    <xdr:to>
      <xdr:col>142</xdr:col>
      <xdr:colOff>0</xdr:colOff>
      <xdr:row>27</xdr:row>
      <xdr:rowOff>0</xdr:rowOff>
    </xdr:to>
    <xdr:sp>
      <xdr:nvSpPr>
        <xdr:cNvPr id="301" name="Rectangle 305"/>
        <xdr:cNvSpPr>
          <a:spLocks/>
        </xdr:cNvSpPr>
      </xdr:nvSpPr>
      <xdr:spPr>
        <a:xfrm>
          <a:off x="1026699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19</xdr:row>
      <xdr:rowOff>0</xdr:rowOff>
    </xdr:from>
    <xdr:to>
      <xdr:col>139</xdr:col>
      <xdr:colOff>0</xdr:colOff>
      <xdr:row>27</xdr:row>
      <xdr:rowOff>0</xdr:rowOff>
    </xdr:to>
    <xdr:sp>
      <xdr:nvSpPr>
        <xdr:cNvPr id="302" name="Rectangle 306"/>
        <xdr:cNvSpPr>
          <a:spLocks/>
        </xdr:cNvSpPr>
      </xdr:nvSpPr>
      <xdr:spPr>
        <a:xfrm>
          <a:off x="1016222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19</xdr:row>
      <xdr:rowOff>0</xdr:rowOff>
    </xdr:from>
    <xdr:to>
      <xdr:col>138</xdr:col>
      <xdr:colOff>0</xdr:colOff>
      <xdr:row>27</xdr:row>
      <xdr:rowOff>0</xdr:rowOff>
    </xdr:to>
    <xdr:sp>
      <xdr:nvSpPr>
        <xdr:cNvPr id="303" name="Rectangle 307"/>
        <xdr:cNvSpPr>
          <a:spLocks/>
        </xdr:cNvSpPr>
      </xdr:nvSpPr>
      <xdr:spPr>
        <a:xfrm>
          <a:off x="99002850" y="316230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19</xdr:row>
      <xdr:rowOff>0</xdr:rowOff>
    </xdr:from>
    <xdr:to>
      <xdr:col>135</xdr:col>
      <xdr:colOff>0</xdr:colOff>
      <xdr:row>27</xdr:row>
      <xdr:rowOff>0</xdr:rowOff>
    </xdr:to>
    <xdr:sp>
      <xdr:nvSpPr>
        <xdr:cNvPr id="304" name="Rectangle 308"/>
        <xdr:cNvSpPr>
          <a:spLocks/>
        </xdr:cNvSpPr>
      </xdr:nvSpPr>
      <xdr:spPr>
        <a:xfrm>
          <a:off x="990028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20</xdr:row>
      <xdr:rowOff>0</xdr:rowOff>
    </xdr:from>
    <xdr:to>
      <xdr:col>142</xdr:col>
      <xdr:colOff>0</xdr:colOff>
      <xdr:row>27</xdr:row>
      <xdr:rowOff>0</xdr:rowOff>
    </xdr:to>
    <xdr:sp>
      <xdr:nvSpPr>
        <xdr:cNvPr id="305" name="Rectangle 309"/>
        <xdr:cNvSpPr>
          <a:spLocks/>
        </xdr:cNvSpPr>
      </xdr:nvSpPr>
      <xdr:spPr>
        <a:xfrm>
          <a:off x="102669975" y="333375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20</xdr:row>
      <xdr:rowOff>0</xdr:rowOff>
    </xdr:from>
    <xdr:to>
      <xdr:col>139</xdr:col>
      <xdr:colOff>0</xdr:colOff>
      <xdr:row>27</xdr:row>
      <xdr:rowOff>0</xdr:rowOff>
    </xdr:to>
    <xdr:sp>
      <xdr:nvSpPr>
        <xdr:cNvPr id="306" name="Rectangle 310"/>
        <xdr:cNvSpPr>
          <a:spLocks/>
        </xdr:cNvSpPr>
      </xdr:nvSpPr>
      <xdr:spPr>
        <a:xfrm>
          <a:off x="101622225" y="333375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20</xdr:row>
      <xdr:rowOff>0</xdr:rowOff>
    </xdr:from>
    <xdr:to>
      <xdr:col>138</xdr:col>
      <xdr:colOff>0</xdr:colOff>
      <xdr:row>27</xdr:row>
      <xdr:rowOff>0</xdr:rowOff>
    </xdr:to>
    <xdr:sp>
      <xdr:nvSpPr>
        <xdr:cNvPr id="307" name="Rectangle 311"/>
        <xdr:cNvSpPr>
          <a:spLocks/>
        </xdr:cNvSpPr>
      </xdr:nvSpPr>
      <xdr:spPr>
        <a:xfrm>
          <a:off x="99002850" y="333375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20</xdr:row>
      <xdr:rowOff>0</xdr:rowOff>
    </xdr:from>
    <xdr:to>
      <xdr:col>135</xdr:col>
      <xdr:colOff>0</xdr:colOff>
      <xdr:row>27</xdr:row>
      <xdr:rowOff>0</xdr:rowOff>
    </xdr:to>
    <xdr:sp>
      <xdr:nvSpPr>
        <xdr:cNvPr id="308" name="Rectangle 312"/>
        <xdr:cNvSpPr>
          <a:spLocks/>
        </xdr:cNvSpPr>
      </xdr:nvSpPr>
      <xdr:spPr>
        <a:xfrm>
          <a:off x="99002850" y="333375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19</xdr:row>
      <xdr:rowOff>0</xdr:rowOff>
    </xdr:from>
    <xdr:to>
      <xdr:col>142</xdr:col>
      <xdr:colOff>0</xdr:colOff>
      <xdr:row>27</xdr:row>
      <xdr:rowOff>0</xdr:rowOff>
    </xdr:to>
    <xdr:sp>
      <xdr:nvSpPr>
        <xdr:cNvPr id="309" name="Rectangle 313"/>
        <xdr:cNvSpPr>
          <a:spLocks/>
        </xdr:cNvSpPr>
      </xdr:nvSpPr>
      <xdr:spPr>
        <a:xfrm>
          <a:off x="10266997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19</xdr:row>
      <xdr:rowOff>0</xdr:rowOff>
    </xdr:from>
    <xdr:to>
      <xdr:col>139</xdr:col>
      <xdr:colOff>0</xdr:colOff>
      <xdr:row>27</xdr:row>
      <xdr:rowOff>0</xdr:rowOff>
    </xdr:to>
    <xdr:sp>
      <xdr:nvSpPr>
        <xdr:cNvPr id="310" name="Rectangle 314"/>
        <xdr:cNvSpPr>
          <a:spLocks/>
        </xdr:cNvSpPr>
      </xdr:nvSpPr>
      <xdr:spPr>
        <a:xfrm>
          <a:off x="101622225" y="316230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19</xdr:row>
      <xdr:rowOff>0</xdr:rowOff>
    </xdr:from>
    <xdr:to>
      <xdr:col>138</xdr:col>
      <xdr:colOff>0</xdr:colOff>
      <xdr:row>27</xdr:row>
      <xdr:rowOff>0</xdr:rowOff>
    </xdr:to>
    <xdr:sp>
      <xdr:nvSpPr>
        <xdr:cNvPr id="311" name="Rectangle 315"/>
        <xdr:cNvSpPr>
          <a:spLocks/>
        </xdr:cNvSpPr>
      </xdr:nvSpPr>
      <xdr:spPr>
        <a:xfrm>
          <a:off x="99679125" y="316230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19</xdr:row>
      <xdr:rowOff>0</xdr:rowOff>
    </xdr:from>
    <xdr:to>
      <xdr:col>135</xdr:col>
      <xdr:colOff>0</xdr:colOff>
      <xdr:row>27</xdr:row>
      <xdr:rowOff>0</xdr:rowOff>
    </xdr:to>
    <xdr:sp>
      <xdr:nvSpPr>
        <xdr:cNvPr id="312" name="Rectangle 316"/>
        <xdr:cNvSpPr>
          <a:spLocks/>
        </xdr:cNvSpPr>
      </xdr:nvSpPr>
      <xdr:spPr>
        <a:xfrm>
          <a:off x="99002850" y="316230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10</xdr:col>
      <xdr:colOff>0</xdr:colOff>
      <xdr:row>37</xdr:row>
      <xdr:rowOff>0</xdr:rowOff>
    </xdr:to>
    <xdr:sp>
      <xdr:nvSpPr>
        <xdr:cNvPr id="313" name="Rectangle 317"/>
        <xdr:cNvSpPr>
          <a:spLocks/>
        </xdr:cNvSpPr>
      </xdr:nvSpPr>
      <xdr:spPr>
        <a:xfrm>
          <a:off x="54102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37</xdr:row>
      <xdr:rowOff>0</xdr:rowOff>
    </xdr:to>
    <xdr:sp>
      <xdr:nvSpPr>
        <xdr:cNvPr id="314" name="Rectangle 318"/>
        <xdr:cNvSpPr>
          <a:spLocks/>
        </xdr:cNvSpPr>
      </xdr:nvSpPr>
      <xdr:spPr>
        <a:xfrm>
          <a:off x="4352925" y="4857750"/>
          <a:ext cx="1057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0</xdr:colOff>
      <xdr:row>37</xdr:row>
      <xdr:rowOff>0</xdr:rowOff>
    </xdr:to>
    <xdr:sp>
      <xdr:nvSpPr>
        <xdr:cNvPr id="315" name="Rectangle 319"/>
        <xdr:cNvSpPr>
          <a:spLocks/>
        </xdr:cNvSpPr>
      </xdr:nvSpPr>
      <xdr:spPr>
        <a:xfrm>
          <a:off x="1733550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37</xdr:row>
      <xdr:rowOff>0</xdr:rowOff>
    </xdr:to>
    <xdr:sp>
      <xdr:nvSpPr>
        <xdr:cNvPr id="316" name="Rectangle 320"/>
        <xdr:cNvSpPr>
          <a:spLocks/>
        </xdr:cNvSpPr>
      </xdr:nvSpPr>
      <xdr:spPr>
        <a:xfrm>
          <a:off x="17335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37</xdr:row>
      <xdr:rowOff>0</xdr:rowOff>
    </xdr:to>
    <xdr:sp>
      <xdr:nvSpPr>
        <xdr:cNvPr id="317" name="Rectangle 321"/>
        <xdr:cNvSpPr>
          <a:spLocks/>
        </xdr:cNvSpPr>
      </xdr:nvSpPr>
      <xdr:spPr>
        <a:xfrm>
          <a:off x="5410200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37</xdr:row>
      <xdr:rowOff>0</xdr:rowOff>
    </xdr:to>
    <xdr:sp>
      <xdr:nvSpPr>
        <xdr:cNvPr id="318" name="Rectangle 322"/>
        <xdr:cNvSpPr>
          <a:spLocks/>
        </xdr:cNvSpPr>
      </xdr:nvSpPr>
      <xdr:spPr>
        <a:xfrm>
          <a:off x="4352925" y="5029200"/>
          <a:ext cx="1057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6</xdr:col>
      <xdr:colOff>0</xdr:colOff>
      <xdr:row>37</xdr:row>
      <xdr:rowOff>0</xdr:rowOff>
    </xdr:to>
    <xdr:sp>
      <xdr:nvSpPr>
        <xdr:cNvPr id="319" name="Rectangle 323"/>
        <xdr:cNvSpPr>
          <a:spLocks/>
        </xdr:cNvSpPr>
      </xdr:nvSpPr>
      <xdr:spPr>
        <a:xfrm>
          <a:off x="1733550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37</xdr:row>
      <xdr:rowOff>0</xdr:rowOff>
    </xdr:to>
    <xdr:sp>
      <xdr:nvSpPr>
        <xdr:cNvPr id="320" name="Rectangle 324"/>
        <xdr:cNvSpPr>
          <a:spLocks/>
        </xdr:cNvSpPr>
      </xdr:nvSpPr>
      <xdr:spPr>
        <a:xfrm>
          <a:off x="1733550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10</xdr:col>
      <xdr:colOff>0</xdr:colOff>
      <xdr:row>37</xdr:row>
      <xdr:rowOff>0</xdr:rowOff>
    </xdr:to>
    <xdr:sp>
      <xdr:nvSpPr>
        <xdr:cNvPr id="321" name="Rectangle 325"/>
        <xdr:cNvSpPr>
          <a:spLocks/>
        </xdr:cNvSpPr>
      </xdr:nvSpPr>
      <xdr:spPr>
        <a:xfrm>
          <a:off x="54102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37</xdr:row>
      <xdr:rowOff>0</xdr:rowOff>
    </xdr:to>
    <xdr:sp>
      <xdr:nvSpPr>
        <xdr:cNvPr id="322" name="Rectangle 326"/>
        <xdr:cNvSpPr>
          <a:spLocks/>
        </xdr:cNvSpPr>
      </xdr:nvSpPr>
      <xdr:spPr>
        <a:xfrm>
          <a:off x="4352925" y="4857750"/>
          <a:ext cx="1057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6</xdr:col>
      <xdr:colOff>0</xdr:colOff>
      <xdr:row>37</xdr:row>
      <xdr:rowOff>0</xdr:rowOff>
    </xdr:to>
    <xdr:sp>
      <xdr:nvSpPr>
        <xdr:cNvPr id="323" name="Rectangle 327"/>
        <xdr:cNvSpPr>
          <a:spLocks/>
        </xdr:cNvSpPr>
      </xdr:nvSpPr>
      <xdr:spPr>
        <a:xfrm>
          <a:off x="24098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37</xdr:row>
      <xdr:rowOff>0</xdr:rowOff>
    </xdr:to>
    <xdr:sp>
      <xdr:nvSpPr>
        <xdr:cNvPr id="324" name="Rectangle 328"/>
        <xdr:cNvSpPr>
          <a:spLocks/>
        </xdr:cNvSpPr>
      </xdr:nvSpPr>
      <xdr:spPr>
        <a:xfrm>
          <a:off x="17335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21</xdr:col>
      <xdr:colOff>0</xdr:colOff>
      <xdr:row>37</xdr:row>
      <xdr:rowOff>0</xdr:rowOff>
    </xdr:to>
    <xdr:sp>
      <xdr:nvSpPr>
        <xdr:cNvPr id="325" name="Rectangle 329"/>
        <xdr:cNvSpPr>
          <a:spLocks/>
        </xdr:cNvSpPr>
      </xdr:nvSpPr>
      <xdr:spPr>
        <a:xfrm>
          <a:off x="135159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0</xdr:colOff>
      <xdr:row>37</xdr:row>
      <xdr:rowOff>0</xdr:rowOff>
    </xdr:to>
    <xdr:sp>
      <xdr:nvSpPr>
        <xdr:cNvPr id="326" name="Rectangle 330"/>
        <xdr:cNvSpPr>
          <a:spLocks/>
        </xdr:cNvSpPr>
      </xdr:nvSpPr>
      <xdr:spPr>
        <a:xfrm>
          <a:off x="124682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0</xdr:colOff>
      <xdr:row>37</xdr:row>
      <xdr:rowOff>0</xdr:rowOff>
    </xdr:to>
    <xdr:sp>
      <xdr:nvSpPr>
        <xdr:cNvPr id="327" name="Rectangle 331"/>
        <xdr:cNvSpPr>
          <a:spLocks/>
        </xdr:cNvSpPr>
      </xdr:nvSpPr>
      <xdr:spPr>
        <a:xfrm>
          <a:off x="9848850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37</xdr:row>
      <xdr:rowOff>0</xdr:rowOff>
    </xdr:to>
    <xdr:sp>
      <xdr:nvSpPr>
        <xdr:cNvPr id="328" name="Rectangle 332"/>
        <xdr:cNvSpPr>
          <a:spLocks/>
        </xdr:cNvSpPr>
      </xdr:nvSpPr>
      <xdr:spPr>
        <a:xfrm>
          <a:off x="98488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21</xdr:col>
      <xdr:colOff>0</xdr:colOff>
      <xdr:row>37</xdr:row>
      <xdr:rowOff>0</xdr:rowOff>
    </xdr:to>
    <xdr:sp>
      <xdr:nvSpPr>
        <xdr:cNvPr id="329" name="Rectangle 333"/>
        <xdr:cNvSpPr>
          <a:spLocks/>
        </xdr:cNvSpPr>
      </xdr:nvSpPr>
      <xdr:spPr>
        <a:xfrm>
          <a:off x="13515975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37</xdr:row>
      <xdr:rowOff>0</xdr:rowOff>
    </xdr:to>
    <xdr:sp>
      <xdr:nvSpPr>
        <xdr:cNvPr id="330" name="Rectangle 334"/>
        <xdr:cNvSpPr>
          <a:spLocks/>
        </xdr:cNvSpPr>
      </xdr:nvSpPr>
      <xdr:spPr>
        <a:xfrm>
          <a:off x="12468225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37</xdr:row>
      <xdr:rowOff>0</xdr:rowOff>
    </xdr:to>
    <xdr:sp>
      <xdr:nvSpPr>
        <xdr:cNvPr id="331" name="Rectangle 335"/>
        <xdr:cNvSpPr>
          <a:spLocks/>
        </xdr:cNvSpPr>
      </xdr:nvSpPr>
      <xdr:spPr>
        <a:xfrm>
          <a:off x="9848850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37</xdr:row>
      <xdr:rowOff>0</xdr:rowOff>
    </xdr:to>
    <xdr:sp>
      <xdr:nvSpPr>
        <xdr:cNvPr id="332" name="Rectangle 336"/>
        <xdr:cNvSpPr>
          <a:spLocks/>
        </xdr:cNvSpPr>
      </xdr:nvSpPr>
      <xdr:spPr>
        <a:xfrm>
          <a:off x="9848850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21</xdr:col>
      <xdr:colOff>0</xdr:colOff>
      <xdr:row>37</xdr:row>
      <xdr:rowOff>0</xdr:rowOff>
    </xdr:to>
    <xdr:sp>
      <xdr:nvSpPr>
        <xdr:cNvPr id="333" name="Rectangle 337"/>
        <xdr:cNvSpPr>
          <a:spLocks/>
        </xdr:cNvSpPr>
      </xdr:nvSpPr>
      <xdr:spPr>
        <a:xfrm>
          <a:off x="135159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0</xdr:colOff>
      <xdr:row>37</xdr:row>
      <xdr:rowOff>0</xdr:rowOff>
    </xdr:to>
    <xdr:sp>
      <xdr:nvSpPr>
        <xdr:cNvPr id="334" name="Rectangle 338"/>
        <xdr:cNvSpPr>
          <a:spLocks/>
        </xdr:cNvSpPr>
      </xdr:nvSpPr>
      <xdr:spPr>
        <a:xfrm>
          <a:off x="124682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17</xdr:col>
      <xdr:colOff>0</xdr:colOff>
      <xdr:row>37</xdr:row>
      <xdr:rowOff>0</xdr:rowOff>
    </xdr:to>
    <xdr:sp>
      <xdr:nvSpPr>
        <xdr:cNvPr id="335" name="Rectangle 339"/>
        <xdr:cNvSpPr>
          <a:spLocks/>
        </xdr:cNvSpPr>
      </xdr:nvSpPr>
      <xdr:spPr>
        <a:xfrm>
          <a:off x="105251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37</xdr:row>
      <xdr:rowOff>0</xdr:rowOff>
    </xdr:to>
    <xdr:sp>
      <xdr:nvSpPr>
        <xdr:cNvPr id="336" name="Rectangle 340"/>
        <xdr:cNvSpPr>
          <a:spLocks/>
        </xdr:cNvSpPr>
      </xdr:nvSpPr>
      <xdr:spPr>
        <a:xfrm>
          <a:off x="98488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32</xdr:col>
      <xdr:colOff>0</xdr:colOff>
      <xdr:row>37</xdr:row>
      <xdr:rowOff>0</xdr:rowOff>
    </xdr:to>
    <xdr:sp>
      <xdr:nvSpPr>
        <xdr:cNvPr id="337" name="Rectangle 341"/>
        <xdr:cNvSpPr>
          <a:spLocks/>
        </xdr:cNvSpPr>
      </xdr:nvSpPr>
      <xdr:spPr>
        <a:xfrm>
          <a:off x="2162175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37</xdr:row>
      <xdr:rowOff>0</xdr:rowOff>
    </xdr:to>
    <xdr:sp>
      <xdr:nvSpPr>
        <xdr:cNvPr id="338" name="Rectangle 342"/>
        <xdr:cNvSpPr>
          <a:spLocks/>
        </xdr:cNvSpPr>
      </xdr:nvSpPr>
      <xdr:spPr>
        <a:xfrm>
          <a:off x="2057400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28</xdr:col>
      <xdr:colOff>0</xdr:colOff>
      <xdr:row>37</xdr:row>
      <xdr:rowOff>0</xdr:rowOff>
    </xdr:to>
    <xdr:sp>
      <xdr:nvSpPr>
        <xdr:cNvPr id="339" name="Rectangle 343"/>
        <xdr:cNvSpPr>
          <a:spLocks/>
        </xdr:cNvSpPr>
      </xdr:nvSpPr>
      <xdr:spPr>
        <a:xfrm>
          <a:off x="17954625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37</xdr:row>
      <xdr:rowOff>0</xdr:rowOff>
    </xdr:to>
    <xdr:sp>
      <xdr:nvSpPr>
        <xdr:cNvPr id="340" name="Rectangle 344"/>
        <xdr:cNvSpPr>
          <a:spLocks/>
        </xdr:cNvSpPr>
      </xdr:nvSpPr>
      <xdr:spPr>
        <a:xfrm>
          <a:off x="179546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</xdr:row>
      <xdr:rowOff>0</xdr:rowOff>
    </xdr:from>
    <xdr:to>
      <xdr:col>32</xdr:col>
      <xdr:colOff>0</xdr:colOff>
      <xdr:row>37</xdr:row>
      <xdr:rowOff>0</xdr:rowOff>
    </xdr:to>
    <xdr:sp>
      <xdr:nvSpPr>
        <xdr:cNvPr id="341" name="Rectangle 345"/>
        <xdr:cNvSpPr>
          <a:spLocks/>
        </xdr:cNvSpPr>
      </xdr:nvSpPr>
      <xdr:spPr>
        <a:xfrm>
          <a:off x="21621750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29</xdr:col>
      <xdr:colOff>0</xdr:colOff>
      <xdr:row>37</xdr:row>
      <xdr:rowOff>0</xdr:rowOff>
    </xdr:to>
    <xdr:sp>
      <xdr:nvSpPr>
        <xdr:cNvPr id="342" name="Rectangle 346"/>
        <xdr:cNvSpPr>
          <a:spLocks/>
        </xdr:cNvSpPr>
      </xdr:nvSpPr>
      <xdr:spPr>
        <a:xfrm>
          <a:off x="20574000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28</xdr:col>
      <xdr:colOff>0</xdr:colOff>
      <xdr:row>37</xdr:row>
      <xdr:rowOff>0</xdr:rowOff>
    </xdr:to>
    <xdr:sp>
      <xdr:nvSpPr>
        <xdr:cNvPr id="343" name="Rectangle 347"/>
        <xdr:cNvSpPr>
          <a:spLocks/>
        </xdr:cNvSpPr>
      </xdr:nvSpPr>
      <xdr:spPr>
        <a:xfrm>
          <a:off x="17954625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37</xdr:row>
      <xdr:rowOff>0</xdr:rowOff>
    </xdr:to>
    <xdr:sp>
      <xdr:nvSpPr>
        <xdr:cNvPr id="344" name="Rectangle 348"/>
        <xdr:cNvSpPr>
          <a:spLocks/>
        </xdr:cNvSpPr>
      </xdr:nvSpPr>
      <xdr:spPr>
        <a:xfrm>
          <a:off x="17954625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32</xdr:col>
      <xdr:colOff>0</xdr:colOff>
      <xdr:row>37</xdr:row>
      <xdr:rowOff>0</xdr:rowOff>
    </xdr:to>
    <xdr:sp>
      <xdr:nvSpPr>
        <xdr:cNvPr id="345" name="Rectangle 349"/>
        <xdr:cNvSpPr>
          <a:spLocks/>
        </xdr:cNvSpPr>
      </xdr:nvSpPr>
      <xdr:spPr>
        <a:xfrm>
          <a:off x="2162175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37</xdr:row>
      <xdr:rowOff>0</xdr:rowOff>
    </xdr:to>
    <xdr:sp>
      <xdr:nvSpPr>
        <xdr:cNvPr id="346" name="Rectangle 350"/>
        <xdr:cNvSpPr>
          <a:spLocks/>
        </xdr:cNvSpPr>
      </xdr:nvSpPr>
      <xdr:spPr>
        <a:xfrm>
          <a:off x="2057400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28</xdr:col>
      <xdr:colOff>0</xdr:colOff>
      <xdr:row>37</xdr:row>
      <xdr:rowOff>0</xdr:rowOff>
    </xdr:to>
    <xdr:sp>
      <xdr:nvSpPr>
        <xdr:cNvPr id="347" name="Rectangle 351"/>
        <xdr:cNvSpPr>
          <a:spLocks/>
        </xdr:cNvSpPr>
      </xdr:nvSpPr>
      <xdr:spPr>
        <a:xfrm>
          <a:off x="186309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37</xdr:row>
      <xdr:rowOff>0</xdr:rowOff>
    </xdr:to>
    <xdr:sp>
      <xdr:nvSpPr>
        <xdr:cNvPr id="348" name="Rectangle 352"/>
        <xdr:cNvSpPr>
          <a:spLocks/>
        </xdr:cNvSpPr>
      </xdr:nvSpPr>
      <xdr:spPr>
        <a:xfrm>
          <a:off x="179546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43</xdr:col>
      <xdr:colOff>0</xdr:colOff>
      <xdr:row>37</xdr:row>
      <xdr:rowOff>0</xdr:rowOff>
    </xdr:to>
    <xdr:sp>
      <xdr:nvSpPr>
        <xdr:cNvPr id="349" name="Rectangle 353"/>
        <xdr:cNvSpPr>
          <a:spLocks/>
        </xdr:cNvSpPr>
      </xdr:nvSpPr>
      <xdr:spPr>
        <a:xfrm>
          <a:off x="297275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0</xdr:rowOff>
    </xdr:from>
    <xdr:to>
      <xdr:col>40</xdr:col>
      <xdr:colOff>0</xdr:colOff>
      <xdr:row>37</xdr:row>
      <xdr:rowOff>0</xdr:rowOff>
    </xdr:to>
    <xdr:sp>
      <xdr:nvSpPr>
        <xdr:cNvPr id="350" name="Rectangle 354"/>
        <xdr:cNvSpPr>
          <a:spLocks/>
        </xdr:cNvSpPr>
      </xdr:nvSpPr>
      <xdr:spPr>
        <a:xfrm>
          <a:off x="2867977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39</xdr:col>
      <xdr:colOff>0</xdr:colOff>
      <xdr:row>37</xdr:row>
      <xdr:rowOff>0</xdr:rowOff>
    </xdr:to>
    <xdr:sp>
      <xdr:nvSpPr>
        <xdr:cNvPr id="351" name="Rectangle 355"/>
        <xdr:cNvSpPr>
          <a:spLocks/>
        </xdr:cNvSpPr>
      </xdr:nvSpPr>
      <xdr:spPr>
        <a:xfrm>
          <a:off x="26060400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37</xdr:row>
      <xdr:rowOff>0</xdr:rowOff>
    </xdr:to>
    <xdr:sp>
      <xdr:nvSpPr>
        <xdr:cNvPr id="352" name="Rectangle 356"/>
        <xdr:cNvSpPr>
          <a:spLocks/>
        </xdr:cNvSpPr>
      </xdr:nvSpPr>
      <xdr:spPr>
        <a:xfrm>
          <a:off x="2606040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43</xdr:col>
      <xdr:colOff>0</xdr:colOff>
      <xdr:row>37</xdr:row>
      <xdr:rowOff>0</xdr:rowOff>
    </xdr:to>
    <xdr:sp>
      <xdr:nvSpPr>
        <xdr:cNvPr id="353" name="Rectangle 357"/>
        <xdr:cNvSpPr>
          <a:spLocks/>
        </xdr:cNvSpPr>
      </xdr:nvSpPr>
      <xdr:spPr>
        <a:xfrm>
          <a:off x="29727525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0</xdr:rowOff>
    </xdr:from>
    <xdr:to>
      <xdr:col>40</xdr:col>
      <xdr:colOff>0</xdr:colOff>
      <xdr:row>37</xdr:row>
      <xdr:rowOff>0</xdr:rowOff>
    </xdr:to>
    <xdr:sp>
      <xdr:nvSpPr>
        <xdr:cNvPr id="354" name="Rectangle 358"/>
        <xdr:cNvSpPr>
          <a:spLocks/>
        </xdr:cNvSpPr>
      </xdr:nvSpPr>
      <xdr:spPr>
        <a:xfrm>
          <a:off x="28679775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39</xdr:col>
      <xdr:colOff>0</xdr:colOff>
      <xdr:row>37</xdr:row>
      <xdr:rowOff>0</xdr:rowOff>
    </xdr:to>
    <xdr:sp>
      <xdr:nvSpPr>
        <xdr:cNvPr id="355" name="Rectangle 359"/>
        <xdr:cNvSpPr>
          <a:spLocks/>
        </xdr:cNvSpPr>
      </xdr:nvSpPr>
      <xdr:spPr>
        <a:xfrm>
          <a:off x="26060400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36</xdr:col>
      <xdr:colOff>0</xdr:colOff>
      <xdr:row>37</xdr:row>
      <xdr:rowOff>0</xdr:rowOff>
    </xdr:to>
    <xdr:sp>
      <xdr:nvSpPr>
        <xdr:cNvPr id="356" name="Rectangle 360"/>
        <xdr:cNvSpPr>
          <a:spLocks/>
        </xdr:cNvSpPr>
      </xdr:nvSpPr>
      <xdr:spPr>
        <a:xfrm>
          <a:off x="26060400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43</xdr:col>
      <xdr:colOff>0</xdr:colOff>
      <xdr:row>37</xdr:row>
      <xdr:rowOff>0</xdr:rowOff>
    </xdr:to>
    <xdr:sp>
      <xdr:nvSpPr>
        <xdr:cNvPr id="357" name="Rectangle 361"/>
        <xdr:cNvSpPr>
          <a:spLocks/>
        </xdr:cNvSpPr>
      </xdr:nvSpPr>
      <xdr:spPr>
        <a:xfrm>
          <a:off x="297275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0</xdr:rowOff>
    </xdr:from>
    <xdr:to>
      <xdr:col>40</xdr:col>
      <xdr:colOff>0</xdr:colOff>
      <xdr:row>37</xdr:row>
      <xdr:rowOff>0</xdr:rowOff>
    </xdr:to>
    <xdr:sp>
      <xdr:nvSpPr>
        <xdr:cNvPr id="358" name="Rectangle 362"/>
        <xdr:cNvSpPr>
          <a:spLocks/>
        </xdr:cNvSpPr>
      </xdr:nvSpPr>
      <xdr:spPr>
        <a:xfrm>
          <a:off x="2867977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39</xdr:col>
      <xdr:colOff>0</xdr:colOff>
      <xdr:row>37</xdr:row>
      <xdr:rowOff>0</xdr:rowOff>
    </xdr:to>
    <xdr:sp>
      <xdr:nvSpPr>
        <xdr:cNvPr id="359" name="Rectangle 363"/>
        <xdr:cNvSpPr>
          <a:spLocks/>
        </xdr:cNvSpPr>
      </xdr:nvSpPr>
      <xdr:spPr>
        <a:xfrm>
          <a:off x="267366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37</xdr:row>
      <xdr:rowOff>0</xdr:rowOff>
    </xdr:to>
    <xdr:sp>
      <xdr:nvSpPr>
        <xdr:cNvPr id="360" name="Rectangle 364"/>
        <xdr:cNvSpPr>
          <a:spLocks/>
        </xdr:cNvSpPr>
      </xdr:nvSpPr>
      <xdr:spPr>
        <a:xfrm>
          <a:off x="2606040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0</xdr:rowOff>
    </xdr:from>
    <xdr:to>
      <xdr:col>54</xdr:col>
      <xdr:colOff>0</xdr:colOff>
      <xdr:row>37</xdr:row>
      <xdr:rowOff>0</xdr:rowOff>
    </xdr:to>
    <xdr:sp>
      <xdr:nvSpPr>
        <xdr:cNvPr id="361" name="Rectangle 365"/>
        <xdr:cNvSpPr>
          <a:spLocks/>
        </xdr:cNvSpPr>
      </xdr:nvSpPr>
      <xdr:spPr>
        <a:xfrm>
          <a:off x="378333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37</xdr:row>
      <xdr:rowOff>0</xdr:rowOff>
    </xdr:to>
    <xdr:sp>
      <xdr:nvSpPr>
        <xdr:cNvPr id="362" name="Rectangle 366"/>
        <xdr:cNvSpPr>
          <a:spLocks/>
        </xdr:cNvSpPr>
      </xdr:nvSpPr>
      <xdr:spPr>
        <a:xfrm>
          <a:off x="3678555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50</xdr:col>
      <xdr:colOff>0</xdr:colOff>
      <xdr:row>37</xdr:row>
      <xdr:rowOff>0</xdr:rowOff>
    </xdr:to>
    <xdr:sp>
      <xdr:nvSpPr>
        <xdr:cNvPr id="363" name="Rectangle 367"/>
        <xdr:cNvSpPr>
          <a:spLocks/>
        </xdr:cNvSpPr>
      </xdr:nvSpPr>
      <xdr:spPr>
        <a:xfrm>
          <a:off x="34166175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37</xdr:row>
      <xdr:rowOff>0</xdr:rowOff>
    </xdr:to>
    <xdr:sp>
      <xdr:nvSpPr>
        <xdr:cNvPr id="364" name="Rectangle 368"/>
        <xdr:cNvSpPr>
          <a:spLocks/>
        </xdr:cNvSpPr>
      </xdr:nvSpPr>
      <xdr:spPr>
        <a:xfrm>
          <a:off x="3416617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0</xdr:rowOff>
    </xdr:from>
    <xdr:to>
      <xdr:col>54</xdr:col>
      <xdr:colOff>0</xdr:colOff>
      <xdr:row>37</xdr:row>
      <xdr:rowOff>0</xdr:rowOff>
    </xdr:to>
    <xdr:sp>
      <xdr:nvSpPr>
        <xdr:cNvPr id="365" name="Rectangle 369"/>
        <xdr:cNvSpPr>
          <a:spLocks/>
        </xdr:cNvSpPr>
      </xdr:nvSpPr>
      <xdr:spPr>
        <a:xfrm>
          <a:off x="37833300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37</xdr:row>
      <xdr:rowOff>0</xdr:rowOff>
    </xdr:to>
    <xdr:sp>
      <xdr:nvSpPr>
        <xdr:cNvPr id="366" name="Rectangle 370"/>
        <xdr:cNvSpPr>
          <a:spLocks/>
        </xdr:cNvSpPr>
      </xdr:nvSpPr>
      <xdr:spPr>
        <a:xfrm>
          <a:off x="36785550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50</xdr:col>
      <xdr:colOff>0</xdr:colOff>
      <xdr:row>37</xdr:row>
      <xdr:rowOff>0</xdr:rowOff>
    </xdr:to>
    <xdr:sp>
      <xdr:nvSpPr>
        <xdr:cNvPr id="367" name="Rectangle 371"/>
        <xdr:cNvSpPr>
          <a:spLocks/>
        </xdr:cNvSpPr>
      </xdr:nvSpPr>
      <xdr:spPr>
        <a:xfrm>
          <a:off x="34166175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47</xdr:col>
      <xdr:colOff>0</xdr:colOff>
      <xdr:row>37</xdr:row>
      <xdr:rowOff>0</xdr:rowOff>
    </xdr:to>
    <xdr:sp>
      <xdr:nvSpPr>
        <xdr:cNvPr id="368" name="Rectangle 372"/>
        <xdr:cNvSpPr>
          <a:spLocks/>
        </xdr:cNvSpPr>
      </xdr:nvSpPr>
      <xdr:spPr>
        <a:xfrm>
          <a:off x="34166175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0</xdr:rowOff>
    </xdr:from>
    <xdr:to>
      <xdr:col>54</xdr:col>
      <xdr:colOff>0</xdr:colOff>
      <xdr:row>37</xdr:row>
      <xdr:rowOff>0</xdr:rowOff>
    </xdr:to>
    <xdr:sp>
      <xdr:nvSpPr>
        <xdr:cNvPr id="369" name="Rectangle 373"/>
        <xdr:cNvSpPr>
          <a:spLocks/>
        </xdr:cNvSpPr>
      </xdr:nvSpPr>
      <xdr:spPr>
        <a:xfrm>
          <a:off x="378333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37</xdr:row>
      <xdr:rowOff>0</xdr:rowOff>
    </xdr:to>
    <xdr:sp>
      <xdr:nvSpPr>
        <xdr:cNvPr id="370" name="Rectangle 374"/>
        <xdr:cNvSpPr>
          <a:spLocks/>
        </xdr:cNvSpPr>
      </xdr:nvSpPr>
      <xdr:spPr>
        <a:xfrm>
          <a:off x="3678555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0</xdr:rowOff>
    </xdr:from>
    <xdr:to>
      <xdr:col>50</xdr:col>
      <xdr:colOff>0</xdr:colOff>
      <xdr:row>37</xdr:row>
      <xdr:rowOff>0</xdr:rowOff>
    </xdr:to>
    <xdr:sp>
      <xdr:nvSpPr>
        <xdr:cNvPr id="371" name="Rectangle 375"/>
        <xdr:cNvSpPr>
          <a:spLocks/>
        </xdr:cNvSpPr>
      </xdr:nvSpPr>
      <xdr:spPr>
        <a:xfrm>
          <a:off x="3484245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37</xdr:row>
      <xdr:rowOff>0</xdr:rowOff>
    </xdr:to>
    <xdr:sp>
      <xdr:nvSpPr>
        <xdr:cNvPr id="372" name="Rectangle 376"/>
        <xdr:cNvSpPr>
          <a:spLocks/>
        </xdr:cNvSpPr>
      </xdr:nvSpPr>
      <xdr:spPr>
        <a:xfrm>
          <a:off x="3416617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0</xdr:rowOff>
    </xdr:from>
    <xdr:to>
      <xdr:col>65</xdr:col>
      <xdr:colOff>0</xdr:colOff>
      <xdr:row>37</xdr:row>
      <xdr:rowOff>0</xdr:rowOff>
    </xdr:to>
    <xdr:sp>
      <xdr:nvSpPr>
        <xdr:cNvPr id="373" name="Rectangle 377"/>
        <xdr:cNvSpPr>
          <a:spLocks/>
        </xdr:cNvSpPr>
      </xdr:nvSpPr>
      <xdr:spPr>
        <a:xfrm>
          <a:off x="459390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29</xdr:row>
      <xdr:rowOff>0</xdr:rowOff>
    </xdr:from>
    <xdr:to>
      <xdr:col>62</xdr:col>
      <xdr:colOff>0</xdr:colOff>
      <xdr:row>37</xdr:row>
      <xdr:rowOff>0</xdr:rowOff>
    </xdr:to>
    <xdr:sp>
      <xdr:nvSpPr>
        <xdr:cNvPr id="374" name="Rectangle 378"/>
        <xdr:cNvSpPr>
          <a:spLocks/>
        </xdr:cNvSpPr>
      </xdr:nvSpPr>
      <xdr:spPr>
        <a:xfrm>
          <a:off x="448913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29</xdr:row>
      <xdr:rowOff>0</xdr:rowOff>
    </xdr:from>
    <xdr:to>
      <xdr:col>61</xdr:col>
      <xdr:colOff>0</xdr:colOff>
      <xdr:row>37</xdr:row>
      <xdr:rowOff>0</xdr:rowOff>
    </xdr:to>
    <xdr:sp>
      <xdr:nvSpPr>
        <xdr:cNvPr id="375" name="Rectangle 379"/>
        <xdr:cNvSpPr>
          <a:spLocks/>
        </xdr:cNvSpPr>
      </xdr:nvSpPr>
      <xdr:spPr>
        <a:xfrm>
          <a:off x="42271950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29</xdr:row>
      <xdr:rowOff>0</xdr:rowOff>
    </xdr:from>
    <xdr:to>
      <xdr:col>58</xdr:col>
      <xdr:colOff>0</xdr:colOff>
      <xdr:row>37</xdr:row>
      <xdr:rowOff>0</xdr:rowOff>
    </xdr:to>
    <xdr:sp>
      <xdr:nvSpPr>
        <xdr:cNvPr id="376" name="Rectangle 380"/>
        <xdr:cNvSpPr>
          <a:spLocks/>
        </xdr:cNvSpPr>
      </xdr:nvSpPr>
      <xdr:spPr>
        <a:xfrm>
          <a:off x="422719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65</xdr:col>
      <xdr:colOff>0</xdr:colOff>
      <xdr:row>37</xdr:row>
      <xdr:rowOff>0</xdr:rowOff>
    </xdr:to>
    <xdr:sp>
      <xdr:nvSpPr>
        <xdr:cNvPr id="377" name="Rectangle 381"/>
        <xdr:cNvSpPr>
          <a:spLocks/>
        </xdr:cNvSpPr>
      </xdr:nvSpPr>
      <xdr:spPr>
        <a:xfrm>
          <a:off x="45939075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37</xdr:row>
      <xdr:rowOff>0</xdr:rowOff>
    </xdr:to>
    <xdr:sp>
      <xdr:nvSpPr>
        <xdr:cNvPr id="378" name="Rectangle 382"/>
        <xdr:cNvSpPr>
          <a:spLocks/>
        </xdr:cNvSpPr>
      </xdr:nvSpPr>
      <xdr:spPr>
        <a:xfrm>
          <a:off x="44891325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61</xdr:col>
      <xdr:colOff>0</xdr:colOff>
      <xdr:row>37</xdr:row>
      <xdr:rowOff>0</xdr:rowOff>
    </xdr:to>
    <xdr:sp>
      <xdr:nvSpPr>
        <xdr:cNvPr id="379" name="Rectangle 383"/>
        <xdr:cNvSpPr>
          <a:spLocks/>
        </xdr:cNvSpPr>
      </xdr:nvSpPr>
      <xdr:spPr>
        <a:xfrm>
          <a:off x="42271950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0</xdr:rowOff>
    </xdr:from>
    <xdr:to>
      <xdr:col>58</xdr:col>
      <xdr:colOff>0</xdr:colOff>
      <xdr:row>37</xdr:row>
      <xdr:rowOff>0</xdr:rowOff>
    </xdr:to>
    <xdr:sp>
      <xdr:nvSpPr>
        <xdr:cNvPr id="380" name="Rectangle 384"/>
        <xdr:cNvSpPr>
          <a:spLocks/>
        </xdr:cNvSpPr>
      </xdr:nvSpPr>
      <xdr:spPr>
        <a:xfrm>
          <a:off x="42271950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0</xdr:rowOff>
    </xdr:from>
    <xdr:to>
      <xdr:col>65</xdr:col>
      <xdr:colOff>0</xdr:colOff>
      <xdr:row>37</xdr:row>
      <xdr:rowOff>0</xdr:rowOff>
    </xdr:to>
    <xdr:sp>
      <xdr:nvSpPr>
        <xdr:cNvPr id="381" name="Rectangle 385"/>
        <xdr:cNvSpPr>
          <a:spLocks/>
        </xdr:cNvSpPr>
      </xdr:nvSpPr>
      <xdr:spPr>
        <a:xfrm>
          <a:off x="459390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29</xdr:row>
      <xdr:rowOff>0</xdr:rowOff>
    </xdr:from>
    <xdr:to>
      <xdr:col>62</xdr:col>
      <xdr:colOff>0</xdr:colOff>
      <xdr:row>37</xdr:row>
      <xdr:rowOff>0</xdr:rowOff>
    </xdr:to>
    <xdr:sp>
      <xdr:nvSpPr>
        <xdr:cNvPr id="382" name="Rectangle 386"/>
        <xdr:cNvSpPr>
          <a:spLocks/>
        </xdr:cNvSpPr>
      </xdr:nvSpPr>
      <xdr:spPr>
        <a:xfrm>
          <a:off x="448913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29</xdr:row>
      <xdr:rowOff>0</xdr:rowOff>
    </xdr:from>
    <xdr:to>
      <xdr:col>61</xdr:col>
      <xdr:colOff>0</xdr:colOff>
      <xdr:row>37</xdr:row>
      <xdr:rowOff>0</xdr:rowOff>
    </xdr:to>
    <xdr:sp>
      <xdr:nvSpPr>
        <xdr:cNvPr id="383" name="Rectangle 387"/>
        <xdr:cNvSpPr>
          <a:spLocks/>
        </xdr:cNvSpPr>
      </xdr:nvSpPr>
      <xdr:spPr>
        <a:xfrm>
          <a:off x="429482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29</xdr:row>
      <xdr:rowOff>0</xdr:rowOff>
    </xdr:from>
    <xdr:to>
      <xdr:col>58</xdr:col>
      <xdr:colOff>0</xdr:colOff>
      <xdr:row>37</xdr:row>
      <xdr:rowOff>0</xdr:rowOff>
    </xdr:to>
    <xdr:sp>
      <xdr:nvSpPr>
        <xdr:cNvPr id="384" name="Rectangle 388"/>
        <xdr:cNvSpPr>
          <a:spLocks/>
        </xdr:cNvSpPr>
      </xdr:nvSpPr>
      <xdr:spPr>
        <a:xfrm>
          <a:off x="422719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29</xdr:row>
      <xdr:rowOff>0</xdr:rowOff>
    </xdr:from>
    <xdr:to>
      <xdr:col>76</xdr:col>
      <xdr:colOff>0</xdr:colOff>
      <xdr:row>37</xdr:row>
      <xdr:rowOff>0</xdr:rowOff>
    </xdr:to>
    <xdr:sp>
      <xdr:nvSpPr>
        <xdr:cNvPr id="385" name="Rectangle 389"/>
        <xdr:cNvSpPr>
          <a:spLocks/>
        </xdr:cNvSpPr>
      </xdr:nvSpPr>
      <xdr:spPr>
        <a:xfrm>
          <a:off x="540353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37</xdr:row>
      <xdr:rowOff>0</xdr:rowOff>
    </xdr:to>
    <xdr:sp>
      <xdr:nvSpPr>
        <xdr:cNvPr id="386" name="Rectangle 390"/>
        <xdr:cNvSpPr>
          <a:spLocks/>
        </xdr:cNvSpPr>
      </xdr:nvSpPr>
      <xdr:spPr>
        <a:xfrm>
          <a:off x="52997100" y="4857750"/>
          <a:ext cx="103822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29</xdr:row>
      <xdr:rowOff>0</xdr:rowOff>
    </xdr:from>
    <xdr:to>
      <xdr:col>72</xdr:col>
      <xdr:colOff>0</xdr:colOff>
      <xdr:row>37</xdr:row>
      <xdr:rowOff>0</xdr:rowOff>
    </xdr:to>
    <xdr:sp>
      <xdr:nvSpPr>
        <xdr:cNvPr id="387" name="Rectangle 391"/>
        <xdr:cNvSpPr>
          <a:spLocks/>
        </xdr:cNvSpPr>
      </xdr:nvSpPr>
      <xdr:spPr>
        <a:xfrm>
          <a:off x="50377725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29</xdr:row>
      <xdr:rowOff>0</xdr:rowOff>
    </xdr:from>
    <xdr:to>
      <xdr:col>69</xdr:col>
      <xdr:colOff>0</xdr:colOff>
      <xdr:row>37</xdr:row>
      <xdr:rowOff>0</xdr:rowOff>
    </xdr:to>
    <xdr:sp>
      <xdr:nvSpPr>
        <xdr:cNvPr id="388" name="Rectangle 392"/>
        <xdr:cNvSpPr>
          <a:spLocks/>
        </xdr:cNvSpPr>
      </xdr:nvSpPr>
      <xdr:spPr>
        <a:xfrm>
          <a:off x="503777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0</xdr:rowOff>
    </xdr:from>
    <xdr:to>
      <xdr:col>76</xdr:col>
      <xdr:colOff>0</xdr:colOff>
      <xdr:row>37</xdr:row>
      <xdr:rowOff>0</xdr:rowOff>
    </xdr:to>
    <xdr:sp>
      <xdr:nvSpPr>
        <xdr:cNvPr id="389" name="Rectangle 393"/>
        <xdr:cNvSpPr>
          <a:spLocks/>
        </xdr:cNvSpPr>
      </xdr:nvSpPr>
      <xdr:spPr>
        <a:xfrm>
          <a:off x="54035325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30</xdr:row>
      <xdr:rowOff>0</xdr:rowOff>
    </xdr:from>
    <xdr:to>
      <xdr:col>73</xdr:col>
      <xdr:colOff>0</xdr:colOff>
      <xdr:row>37</xdr:row>
      <xdr:rowOff>0</xdr:rowOff>
    </xdr:to>
    <xdr:sp>
      <xdr:nvSpPr>
        <xdr:cNvPr id="390" name="Rectangle 394"/>
        <xdr:cNvSpPr>
          <a:spLocks/>
        </xdr:cNvSpPr>
      </xdr:nvSpPr>
      <xdr:spPr>
        <a:xfrm>
          <a:off x="52997100" y="5029200"/>
          <a:ext cx="103822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30</xdr:row>
      <xdr:rowOff>0</xdr:rowOff>
    </xdr:from>
    <xdr:to>
      <xdr:col>72</xdr:col>
      <xdr:colOff>0</xdr:colOff>
      <xdr:row>37</xdr:row>
      <xdr:rowOff>0</xdr:rowOff>
    </xdr:to>
    <xdr:sp>
      <xdr:nvSpPr>
        <xdr:cNvPr id="391" name="Rectangle 395"/>
        <xdr:cNvSpPr>
          <a:spLocks/>
        </xdr:cNvSpPr>
      </xdr:nvSpPr>
      <xdr:spPr>
        <a:xfrm>
          <a:off x="50377725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30</xdr:row>
      <xdr:rowOff>0</xdr:rowOff>
    </xdr:from>
    <xdr:to>
      <xdr:col>69</xdr:col>
      <xdr:colOff>0</xdr:colOff>
      <xdr:row>37</xdr:row>
      <xdr:rowOff>0</xdr:rowOff>
    </xdr:to>
    <xdr:sp>
      <xdr:nvSpPr>
        <xdr:cNvPr id="392" name="Rectangle 396"/>
        <xdr:cNvSpPr>
          <a:spLocks/>
        </xdr:cNvSpPr>
      </xdr:nvSpPr>
      <xdr:spPr>
        <a:xfrm>
          <a:off x="50377725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29</xdr:row>
      <xdr:rowOff>0</xdr:rowOff>
    </xdr:from>
    <xdr:to>
      <xdr:col>76</xdr:col>
      <xdr:colOff>0</xdr:colOff>
      <xdr:row>37</xdr:row>
      <xdr:rowOff>0</xdr:rowOff>
    </xdr:to>
    <xdr:sp>
      <xdr:nvSpPr>
        <xdr:cNvPr id="393" name="Rectangle 397"/>
        <xdr:cNvSpPr>
          <a:spLocks/>
        </xdr:cNvSpPr>
      </xdr:nvSpPr>
      <xdr:spPr>
        <a:xfrm>
          <a:off x="540353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37</xdr:row>
      <xdr:rowOff>0</xdr:rowOff>
    </xdr:to>
    <xdr:sp>
      <xdr:nvSpPr>
        <xdr:cNvPr id="394" name="Rectangle 398"/>
        <xdr:cNvSpPr>
          <a:spLocks/>
        </xdr:cNvSpPr>
      </xdr:nvSpPr>
      <xdr:spPr>
        <a:xfrm>
          <a:off x="52997100" y="4857750"/>
          <a:ext cx="103822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72</xdr:col>
      <xdr:colOff>0</xdr:colOff>
      <xdr:row>37</xdr:row>
      <xdr:rowOff>0</xdr:rowOff>
    </xdr:to>
    <xdr:sp>
      <xdr:nvSpPr>
        <xdr:cNvPr id="395" name="Rectangle 399"/>
        <xdr:cNvSpPr>
          <a:spLocks/>
        </xdr:cNvSpPr>
      </xdr:nvSpPr>
      <xdr:spPr>
        <a:xfrm>
          <a:off x="510540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29</xdr:row>
      <xdr:rowOff>0</xdr:rowOff>
    </xdr:from>
    <xdr:to>
      <xdr:col>69</xdr:col>
      <xdr:colOff>0</xdr:colOff>
      <xdr:row>37</xdr:row>
      <xdr:rowOff>0</xdr:rowOff>
    </xdr:to>
    <xdr:sp>
      <xdr:nvSpPr>
        <xdr:cNvPr id="396" name="Rectangle 400"/>
        <xdr:cNvSpPr>
          <a:spLocks/>
        </xdr:cNvSpPr>
      </xdr:nvSpPr>
      <xdr:spPr>
        <a:xfrm>
          <a:off x="503777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29</xdr:row>
      <xdr:rowOff>0</xdr:rowOff>
    </xdr:from>
    <xdr:to>
      <xdr:col>87</xdr:col>
      <xdr:colOff>0</xdr:colOff>
      <xdr:row>37</xdr:row>
      <xdr:rowOff>0</xdr:rowOff>
    </xdr:to>
    <xdr:sp>
      <xdr:nvSpPr>
        <xdr:cNvPr id="397" name="Rectangle 401"/>
        <xdr:cNvSpPr>
          <a:spLocks/>
        </xdr:cNvSpPr>
      </xdr:nvSpPr>
      <xdr:spPr>
        <a:xfrm>
          <a:off x="621411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29</xdr:row>
      <xdr:rowOff>0</xdr:rowOff>
    </xdr:from>
    <xdr:to>
      <xdr:col>84</xdr:col>
      <xdr:colOff>0</xdr:colOff>
      <xdr:row>37</xdr:row>
      <xdr:rowOff>0</xdr:rowOff>
    </xdr:to>
    <xdr:sp>
      <xdr:nvSpPr>
        <xdr:cNvPr id="398" name="Rectangle 402"/>
        <xdr:cNvSpPr>
          <a:spLocks/>
        </xdr:cNvSpPr>
      </xdr:nvSpPr>
      <xdr:spPr>
        <a:xfrm>
          <a:off x="6109335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29</xdr:row>
      <xdr:rowOff>0</xdr:rowOff>
    </xdr:from>
    <xdr:to>
      <xdr:col>83</xdr:col>
      <xdr:colOff>0</xdr:colOff>
      <xdr:row>37</xdr:row>
      <xdr:rowOff>0</xdr:rowOff>
    </xdr:to>
    <xdr:sp>
      <xdr:nvSpPr>
        <xdr:cNvPr id="399" name="Rectangle 403"/>
        <xdr:cNvSpPr>
          <a:spLocks/>
        </xdr:cNvSpPr>
      </xdr:nvSpPr>
      <xdr:spPr>
        <a:xfrm>
          <a:off x="58473975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29</xdr:row>
      <xdr:rowOff>0</xdr:rowOff>
    </xdr:from>
    <xdr:to>
      <xdr:col>80</xdr:col>
      <xdr:colOff>0</xdr:colOff>
      <xdr:row>37</xdr:row>
      <xdr:rowOff>0</xdr:rowOff>
    </xdr:to>
    <xdr:sp>
      <xdr:nvSpPr>
        <xdr:cNvPr id="400" name="Rectangle 404"/>
        <xdr:cNvSpPr>
          <a:spLocks/>
        </xdr:cNvSpPr>
      </xdr:nvSpPr>
      <xdr:spPr>
        <a:xfrm>
          <a:off x="5847397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30</xdr:row>
      <xdr:rowOff>0</xdr:rowOff>
    </xdr:from>
    <xdr:to>
      <xdr:col>87</xdr:col>
      <xdr:colOff>0</xdr:colOff>
      <xdr:row>37</xdr:row>
      <xdr:rowOff>0</xdr:rowOff>
    </xdr:to>
    <xdr:sp>
      <xdr:nvSpPr>
        <xdr:cNvPr id="401" name="Rectangle 405"/>
        <xdr:cNvSpPr>
          <a:spLocks/>
        </xdr:cNvSpPr>
      </xdr:nvSpPr>
      <xdr:spPr>
        <a:xfrm>
          <a:off x="62141100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30</xdr:row>
      <xdr:rowOff>0</xdr:rowOff>
    </xdr:from>
    <xdr:to>
      <xdr:col>84</xdr:col>
      <xdr:colOff>0</xdr:colOff>
      <xdr:row>37</xdr:row>
      <xdr:rowOff>0</xdr:rowOff>
    </xdr:to>
    <xdr:sp>
      <xdr:nvSpPr>
        <xdr:cNvPr id="402" name="Rectangle 406"/>
        <xdr:cNvSpPr>
          <a:spLocks/>
        </xdr:cNvSpPr>
      </xdr:nvSpPr>
      <xdr:spPr>
        <a:xfrm>
          <a:off x="61093350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30</xdr:row>
      <xdr:rowOff>0</xdr:rowOff>
    </xdr:from>
    <xdr:to>
      <xdr:col>83</xdr:col>
      <xdr:colOff>0</xdr:colOff>
      <xdr:row>37</xdr:row>
      <xdr:rowOff>0</xdr:rowOff>
    </xdr:to>
    <xdr:sp>
      <xdr:nvSpPr>
        <xdr:cNvPr id="403" name="Rectangle 407"/>
        <xdr:cNvSpPr>
          <a:spLocks/>
        </xdr:cNvSpPr>
      </xdr:nvSpPr>
      <xdr:spPr>
        <a:xfrm>
          <a:off x="58473975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30</xdr:row>
      <xdr:rowOff>0</xdr:rowOff>
    </xdr:from>
    <xdr:to>
      <xdr:col>80</xdr:col>
      <xdr:colOff>0</xdr:colOff>
      <xdr:row>37</xdr:row>
      <xdr:rowOff>0</xdr:rowOff>
    </xdr:to>
    <xdr:sp>
      <xdr:nvSpPr>
        <xdr:cNvPr id="404" name="Rectangle 408"/>
        <xdr:cNvSpPr>
          <a:spLocks/>
        </xdr:cNvSpPr>
      </xdr:nvSpPr>
      <xdr:spPr>
        <a:xfrm>
          <a:off x="58473975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29</xdr:row>
      <xdr:rowOff>0</xdr:rowOff>
    </xdr:from>
    <xdr:to>
      <xdr:col>87</xdr:col>
      <xdr:colOff>0</xdr:colOff>
      <xdr:row>37</xdr:row>
      <xdr:rowOff>0</xdr:rowOff>
    </xdr:to>
    <xdr:sp>
      <xdr:nvSpPr>
        <xdr:cNvPr id="405" name="Rectangle 409"/>
        <xdr:cNvSpPr>
          <a:spLocks/>
        </xdr:cNvSpPr>
      </xdr:nvSpPr>
      <xdr:spPr>
        <a:xfrm>
          <a:off x="621411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29</xdr:row>
      <xdr:rowOff>0</xdr:rowOff>
    </xdr:from>
    <xdr:to>
      <xdr:col>84</xdr:col>
      <xdr:colOff>0</xdr:colOff>
      <xdr:row>37</xdr:row>
      <xdr:rowOff>0</xdr:rowOff>
    </xdr:to>
    <xdr:sp>
      <xdr:nvSpPr>
        <xdr:cNvPr id="406" name="Rectangle 410"/>
        <xdr:cNvSpPr>
          <a:spLocks/>
        </xdr:cNvSpPr>
      </xdr:nvSpPr>
      <xdr:spPr>
        <a:xfrm>
          <a:off x="6109335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29</xdr:row>
      <xdr:rowOff>0</xdr:rowOff>
    </xdr:from>
    <xdr:to>
      <xdr:col>83</xdr:col>
      <xdr:colOff>0</xdr:colOff>
      <xdr:row>37</xdr:row>
      <xdr:rowOff>0</xdr:rowOff>
    </xdr:to>
    <xdr:sp>
      <xdr:nvSpPr>
        <xdr:cNvPr id="407" name="Rectangle 411"/>
        <xdr:cNvSpPr>
          <a:spLocks/>
        </xdr:cNvSpPr>
      </xdr:nvSpPr>
      <xdr:spPr>
        <a:xfrm>
          <a:off x="5915025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29</xdr:row>
      <xdr:rowOff>0</xdr:rowOff>
    </xdr:from>
    <xdr:to>
      <xdr:col>80</xdr:col>
      <xdr:colOff>0</xdr:colOff>
      <xdr:row>37</xdr:row>
      <xdr:rowOff>0</xdr:rowOff>
    </xdr:to>
    <xdr:sp>
      <xdr:nvSpPr>
        <xdr:cNvPr id="408" name="Rectangle 412"/>
        <xdr:cNvSpPr>
          <a:spLocks/>
        </xdr:cNvSpPr>
      </xdr:nvSpPr>
      <xdr:spPr>
        <a:xfrm>
          <a:off x="5847397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0</xdr:rowOff>
    </xdr:from>
    <xdr:to>
      <xdr:col>98</xdr:col>
      <xdr:colOff>0</xdr:colOff>
      <xdr:row>37</xdr:row>
      <xdr:rowOff>0</xdr:rowOff>
    </xdr:to>
    <xdr:sp>
      <xdr:nvSpPr>
        <xdr:cNvPr id="409" name="Rectangle 413"/>
        <xdr:cNvSpPr>
          <a:spLocks/>
        </xdr:cNvSpPr>
      </xdr:nvSpPr>
      <xdr:spPr>
        <a:xfrm>
          <a:off x="702468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29</xdr:row>
      <xdr:rowOff>0</xdr:rowOff>
    </xdr:from>
    <xdr:to>
      <xdr:col>95</xdr:col>
      <xdr:colOff>0</xdr:colOff>
      <xdr:row>37</xdr:row>
      <xdr:rowOff>0</xdr:rowOff>
    </xdr:to>
    <xdr:sp>
      <xdr:nvSpPr>
        <xdr:cNvPr id="410" name="Rectangle 414"/>
        <xdr:cNvSpPr>
          <a:spLocks/>
        </xdr:cNvSpPr>
      </xdr:nvSpPr>
      <xdr:spPr>
        <a:xfrm>
          <a:off x="691991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29</xdr:row>
      <xdr:rowOff>0</xdr:rowOff>
    </xdr:from>
    <xdr:to>
      <xdr:col>94</xdr:col>
      <xdr:colOff>0</xdr:colOff>
      <xdr:row>37</xdr:row>
      <xdr:rowOff>0</xdr:rowOff>
    </xdr:to>
    <xdr:sp>
      <xdr:nvSpPr>
        <xdr:cNvPr id="411" name="Rectangle 415"/>
        <xdr:cNvSpPr>
          <a:spLocks/>
        </xdr:cNvSpPr>
      </xdr:nvSpPr>
      <xdr:spPr>
        <a:xfrm>
          <a:off x="66579750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29</xdr:row>
      <xdr:rowOff>0</xdr:rowOff>
    </xdr:from>
    <xdr:to>
      <xdr:col>91</xdr:col>
      <xdr:colOff>0</xdr:colOff>
      <xdr:row>37</xdr:row>
      <xdr:rowOff>0</xdr:rowOff>
    </xdr:to>
    <xdr:sp>
      <xdr:nvSpPr>
        <xdr:cNvPr id="412" name="Rectangle 416"/>
        <xdr:cNvSpPr>
          <a:spLocks/>
        </xdr:cNvSpPr>
      </xdr:nvSpPr>
      <xdr:spPr>
        <a:xfrm>
          <a:off x="665797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30</xdr:row>
      <xdr:rowOff>0</xdr:rowOff>
    </xdr:from>
    <xdr:to>
      <xdr:col>98</xdr:col>
      <xdr:colOff>0</xdr:colOff>
      <xdr:row>37</xdr:row>
      <xdr:rowOff>0</xdr:rowOff>
    </xdr:to>
    <xdr:sp>
      <xdr:nvSpPr>
        <xdr:cNvPr id="413" name="Rectangle 417"/>
        <xdr:cNvSpPr>
          <a:spLocks/>
        </xdr:cNvSpPr>
      </xdr:nvSpPr>
      <xdr:spPr>
        <a:xfrm>
          <a:off x="70246875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30</xdr:row>
      <xdr:rowOff>0</xdr:rowOff>
    </xdr:from>
    <xdr:to>
      <xdr:col>95</xdr:col>
      <xdr:colOff>0</xdr:colOff>
      <xdr:row>37</xdr:row>
      <xdr:rowOff>0</xdr:rowOff>
    </xdr:to>
    <xdr:sp>
      <xdr:nvSpPr>
        <xdr:cNvPr id="414" name="Rectangle 418"/>
        <xdr:cNvSpPr>
          <a:spLocks/>
        </xdr:cNvSpPr>
      </xdr:nvSpPr>
      <xdr:spPr>
        <a:xfrm>
          <a:off x="69199125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30</xdr:row>
      <xdr:rowOff>0</xdr:rowOff>
    </xdr:from>
    <xdr:to>
      <xdr:col>94</xdr:col>
      <xdr:colOff>0</xdr:colOff>
      <xdr:row>37</xdr:row>
      <xdr:rowOff>0</xdr:rowOff>
    </xdr:to>
    <xdr:sp>
      <xdr:nvSpPr>
        <xdr:cNvPr id="415" name="Rectangle 419"/>
        <xdr:cNvSpPr>
          <a:spLocks/>
        </xdr:cNvSpPr>
      </xdr:nvSpPr>
      <xdr:spPr>
        <a:xfrm>
          <a:off x="66579750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30</xdr:row>
      <xdr:rowOff>0</xdr:rowOff>
    </xdr:from>
    <xdr:to>
      <xdr:col>91</xdr:col>
      <xdr:colOff>0</xdr:colOff>
      <xdr:row>37</xdr:row>
      <xdr:rowOff>0</xdr:rowOff>
    </xdr:to>
    <xdr:sp>
      <xdr:nvSpPr>
        <xdr:cNvPr id="416" name="Rectangle 420"/>
        <xdr:cNvSpPr>
          <a:spLocks/>
        </xdr:cNvSpPr>
      </xdr:nvSpPr>
      <xdr:spPr>
        <a:xfrm>
          <a:off x="66579750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0</xdr:rowOff>
    </xdr:from>
    <xdr:to>
      <xdr:col>98</xdr:col>
      <xdr:colOff>0</xdr:colOff>
      <xdr:row>37</xdr:row>
      <xdr:rowOff>0</xdr:rowOff>
    </xdr:to>
    <xdr:sp>
      <xdr:nvSpPr>
        <xdr:cNvPr id="417" name="Rectangle 421"/>
        <xdr:cNvSpPr>
          <a:spLocks/>
        </xdr:cNvSpPr>
      </xdr:nvSpPr>
      <xdr:spPr>
        <a:xfrm>
          <a:off x="702468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29</xdr:row>
      <xdr:rowOff>0</xdr:rowOff>
    </xdr:from>
    <xdr:to>
      <xdr:col>95</xdr:col>
      <xdr:colOff>0</xdr:colOff>
      <xdr:row>37</xdr:row>
      <xdr:rowOff>0</xdr:rowOff>
    </xdr:to>
    <xdr:sp>
      <xdr:nvSpPr>
        <xdr:cNvPr id="418" name="Rectangle 422"/>
        <xdr:cNvSpPr>
          <a:spLocks/>
        </xdr:cNvSpPr>
      </xdr:nvSpPr>
      <xdr:spPr>
        <a:xfrm>
          <a:off x="691991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29</xdr:row>
      <xdr:rowOff>0</xdr:rowOff>
    </xdr:from>
    <xdr:to>
      <xdr:col>94</xdr:col>
      <xdr:colOff>0</xdr:colOff>
      <xdr:row>37</xdr:row>
      <xdr:rowOff>0</xdr:rowOff>
    </xdr:to>
    <xdr:sp>
      <xdr:nvSpPr>
        <xdr:cNvPr id="419" name="Rectangle 423"/>
        <xdr:cNvSpPr>
          <a:spLocks/>
        </xdr:cNvSpPr>
      </xdr:nvSpPr>
      <xdr:spPr>
        <a:xfrm>
          <a:off x="672560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29</xdr:row>
      <xdr:rowOff>0</xdr:rowOff>
    </xdr:from>
    <xdr:to>
      <xdr:col>91</xdr:col>
      <xdr:colOff>0</xdr:colOff>
      <xdr:row>37</xdr:row>
      <xdr:rowOff>0</xdr:rowOff>
    </xdr:to>
    <xdr:sp>
      <xdr:nvSpPr>
        <xdr:cNvPr id="420" name="Rectangle 424"/>
        <xdr:cNvSpPr>
          <a:spLocks/>
        </xdr:cNvSpPr>
      </xdr:nvSpPr>
      <xdr:spPr>
        <a:xfrm>
          <a:off x="665797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29</xdr:row>
      <xdr:rowOff>0</xdr:rowOff>
    </xdr:from>
    <xdr:to>
      <xdr:col>109</xdr:col>
      <xdr:colOff>0</xdr:colOff>
      <xdr:row>37</xdr:row>
      <xdr:rowOff>0</xdr:rowOff>
    </xdr:to>
    <xdr:sp>
      <xdr:nvSpPr>
        <xdr:cNvPr id="421" name="Rectangle 425"/>
        <xdr:cNvSpPr>
          <a:spLocks/>
        </xdr:cNvSpPr>
      </xdr:nvSpPr>
      <xdr:spPr>
        <a:xfrm>
          <a:off x="7835265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29</xdr:row>
      <xdr:rowOff>0</xdr:rowOff>
    </xdr:from>
    <xdr:to>
      <xdr:col>106</xdr:col>
      <xdr:colOff>0</xdr:colOff>
      <xdr:row>37</xdr:row>
      <xdr:rowOff>0</xdr:rowOff>
    </xdr:to>
    <xdr:sp>
      <xdr:nvSpPr>
        <xdr:cNvPr id="422" name="Rectangle 426"/>
        <xdr:cNvSpPr>
          <a:spLocks/>
        </xdr:cNvSpPr>
      </xdr:nvSpPr>
      <xdr:spPr>
        <a:xfrm>
          <a:off x="7730490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29</xdr:row>
      <xdr:rowOff>0</xdr:rowOff>
    </xdr:from>
    <xdr:to>
      <xdr:col>105</xdr:col>
      <xdr:colOff>0</xdr:colOff>
      <xdr:row>37</xdr:row>
      <xdr:rowOff>0</xdr:rowOff>
    </xdr:to>
    <xdr:sp>
      <xdr:nvSpPr>
        <xdr:cNvPr id="423" name="Rectangle 427"/>
        <xdr:cNvSpPr>
          <a:spLocks/>
        </xdr:cNvSpPr>
      </xdr:nvSpPr>
      <xdr:spPr>
        <a:xfrm>
          <a:off x="74685525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29</xdr:row>
      <xdr:rowOff>0</xdr:rowOff>
    </xdr:from>
    <xdr:to>
      <xdr:col>102</xdr:col>
      <xdr:colOff>0</xdr:colOff>
      <xdr:row>37</xdr:row>
      <xdr:rowOff>0</xdr:rowOff>
    </xdr:to>
    <xdr:sp>
      <xdr:nvSpPr>
        <xdr:cNvPr id="424" name="Rectangle 428"/>
        <xdr:cNvSpPr>
          <a:spLocks/>
        </xdr:cNvSpPr>
      </xdr:nvSpPr>
      <xdr:spPr>
        <a:xfrm>
          <a:off x="746855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30</xdr:row>
      <xdr:rowOff>0</xdr:rowOff>
    </xdr:from>
    <xdr:to>
      <xdr:col>109</xdr:col>
      <xdr:colOff>0</xdr:colOff>
      <xdr:row>37</xdr:row>
      <xdr:rowOff>0</xdr:rowOff>
    </xdr:to>
    <xdr:sp>
      <xdr:nvSpPr>
        <xdr:cNvPr id="425" name="Rectangle 429"/>
        <xdr:cNvSpPr>
          <a:spLocks/>
        </xdr:cNvSpPr>
      </xdr:nvSpPr>
      <xdr:spPr>
        <a:xfrm>
          <a:off x="78352650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30</xdr:row>
      <xdr:rowOff>0</xdr:rowOff>
    </xdr:from>
    <xdr:to>
      <xdr:col>106</xdr:col>
      <xdr:colOff>0</xdr:colOff>
      <xdr:row>37</xdr:row>
      <xdr:rowOff>0</xdr:rowOff>
    </xdr:to>
    <xdr:sp>
      <xdr:nvSpPr>
        <xdr:cNvPr id="426" name="Rectangle 430"/>
        <xdr:cNvSpPr>
          <a:spLocks/>
        </xdr:cNvSpPr>
      </xdr:nvSpPr>
      <xdr:spPr>
        <a:xfrm>
          <a:off x="77304900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30</xdr:row>
      <xdr:rowOff>0</xdr:rowOff>
    </xdr:from>
    <xdr:to>
      <xdr:col>105</xdr:col>
      <xdr:colOff>0</xdr:colOff>
      <xdr:row>37</xdr:row>
      <xdr:rowOff>0</xdr:rowOff>
    </xdr:to>
    <xdr:sp>
      <xdr:nvSpPr>
        <xdr:cNvPr id="427" name="Rectangle 431"/>
        <xdr:cNvSpPr>
          <a:spLocks/>
        </xdr:cNvSpPr>
      </xdr:nvSpPr>
      <xdr:spPr>
        <a:xfrm>
          <a:off x="74685525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30</xdr:row>
      <xdr:rowOff>0</xdr:rowOff>
    </xdr:from>
    <xdr:to>
      <xdr:col>102</xdr:col>
      <xdr:colOff>0</xdr:colOff>
      <xdr:row>37</xdr:row>
      <xdr:rowOff>0</xdr:rowOff>
    </xdr:to>
    <xdr:sp>
      <xdr:nvSpPr>
        <xdr:cNvPr id="428" name="Rectangle 432"/>
        <xdr:cNvSpPr>
          <a:spLocks/>
        </xdr:cNvSpPr>
      </xdr:nvSpPr>
      <xdr:spPr>
        <a:xfrm>
          <a:off x="74685525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29</xdr:row>
      <xdr:rowOff>0</xdr:rowOff>
    </xdr:from>
    <xdr:to>
      <xdr:col>109</xdr:col>
      <xdr:colOff>0</xdr:colOff>
      <xdr:row>37</xdr:row>
      <xdr:rowOff>0</xdr:rowOff>
    </xdr:to>
    <xdr:sp>
      <xdr:nvSpPr>
        <xdr:cNvPr id="429" name="Rectangle 433"/>
        <xdr:cNvSpPr>
          <a:spLocks/>
        </xdr:cNvSpPr>
      </xdr:nvSpPr>
      <xdr:spPr>
        <a:xfrm>
          <a:off x="7835265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29</xdr:row>
      <xdr:rowOff>0</xdr:rowOff>
    </xdr:from>
    <xdr:to>
      <xdr:col>106</xdr:col>
      <xdr:colOff>0</xdr:colOff>
      <xdr:row>37</xdr:row>
      <xdr:rowOff>0</xdr:rowOff>
    </xdr:to>
    <xdr:sp>
      <xdr:nvSpPr>
        <xdr:cNvPr id="430" name="Rectangle 434"/>
        <xdr:cNvSpPr>
          <a:spLocks/>
        </xdr:cNvSpPr>
      </xdr:nvSpPr>
      <xdr:spPr>
        <a:xfrm>
          <a:off x="7730490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29</xdr:row>
      <xdr:rowOff>0</xdr:rowOff>
    </xdr:from>
    <xdr:to>
      <xdr:col>105</xdr:col>
      <xdr:colOff>0</xdr:colOff>
      <xdr:row>37</xdr:row>
      <xdr:rowOff>0</xdr:rowOff>
    </xdr:to>
    <xdr:sp>
      <xdr:nvSpPr>
        <xdr:cNvPr id="431" name="Rectangle 435"/>
        <xdr:cNvSpPr>
          <a:spLocks/>
        </xdr:cNvSpPr>
      </xdr:nvSpPr>
      <xdr:spPr>
        <a:xfrm>
          <a:off x="753618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29</xdr:row>
      <xdr:rowOff>0</xdr:rowOff>
    </xdr:from>
    <xdr:to>
      <xdr:col>102</xdr:col>
      <xdr:colOff>0</xdr:colOff>
      <xdr:row>37</xdr:row>
      <xdr:rowOff>0</xdr:rowOff>
    </xdr:to>
    <xdr:sp>
      <xdr:nvSpPr>
        <xdr:cNvPr id="432" name="Rectangle 436"/>
        <xdr:cNvSpPr>
          <a:spLocks/>
        </xdr:cNvSpPr>
      </xdr:nvSpPr>
      <xdr:spPr>
        <a:xfrm>
          <a:off x="746855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29</xdr:row>
      <xdr:rowOff>0</xdr:rowOff>
    </xdr:from>
    <xdr:to>
      <xdr:col>120</xdr:col>
      <xdr:colOff>0</xdr:colOff>
      <xdr:row>37</xdr:row>
      <xdr:rowOff>0</xdr:rowOff>
    </xdr:to>
    <xdr:sp>
      <xdr:nvSpPr>
        <xdr:cNvPr id="433" name="Rectangle 437"/>
        <xdr:cNvSpPr>
          <a:spLocks/>
        </xdr:cNvSpPr>
      </xdr:nvSpPr>
      <xdr:spPr>
        <a:xfrm>
          <a:off x="86467950" y="4857750"/>
          <a:ext cx="19335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29</xdr:row>
      <xdr:rowOff>0</xdr:rowOff>
    </xdr:from>
    <xdr:to>
      <xdr:col>117</xdr:col>
      <xdr:colOff>0</xdr:colOff>
      <xdr:row>37</xdr:row>
      <xdr:rowOff>0</xdr:rowOff>
    </xdr:to>
    <xdr:sp>
      <xdr:nvSpPr>
        <xdr:cNvPr id="434" name="Rectangle 438"/>
        <xdr:cNvSpPr>
          <a:spLocks/>
        </xdr:cNvSpPr>
      </xdr:nvSpPr>
      <xdr:spPr>
        <a:xfrm>
          <a:off x="8542020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29</xdr:row>
      <xdr:rowOff>0</xdr:rowOff>
    </xdr:from>
    <xdr:to>
      <xdr:col>116</xdr:col>
      <xdr:colOff>0</xdr:colOff>
      <xdr:row>37</xdr:row>
      <xdr:rowOff>0</xdr:rowOff>
    </xdr:to>
    <xdr:sp>
      <xdr:nvSpPr>
        <xdr:cNvPr id="435" name="Rectangle 439"/>
        <xdr:cNvSpPr>
          <a:spLocks/>
        </xdr:cNvSpPr>
      </xdr:nvSpPr>
      <xdr:spPr>
        <a:xfrm>
          <a:off x="82800825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29</xdr:row>
      <xdr:rowOff>0</xdr:rowOff>
    </xdr:from>
    <xdr:to>
      <xdr:col>113</xdr:col>
      <xdr:colOff>0</xdr:colOff>
      <xdr:row>37</xdr:row>
      <xdr:rowOff>0</xdr:rowOff>
    </xdr:to>
    <xdr:sp>
      <xdr:nvSpPr>
        <xdr:cNvPr id="436" name="Rectangle 440"/>
        <xdr:cNvSpPr>
          <a:spLocks/>
        </xdr:cNvSpPr>
      </xdr:nvSpPr>
      <xdr:spPr>
        <a:xfrm>
          <a:off x="828008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30</xdr:row>
      <xdr:rowOff>0</xdr:rowOff>
    </xdr:from>
    <xdr:to>
      <xdr:col>120</xdr:col>
      <xdr:colOff>0</xdr:colOff>
      <xdr:row>37</xdr:row>
      <xdr:rowOff>0</xdr:rowOff>
    </xdr:to>
    <xdr:sp>
      <xdr:nvSpPr>
        <xdr:cNvPr id="437" name="Rectangle 441"/>
        <xdr:cNvSpPr>
          <a:spLocks/>
        </xdr:cNvSpPr>
      </xdr:nvSpPr>
      <xdr:spPr>
        <a:xfrm>
          <a:off x="86467950" y="5029200"/>
          <a:ext cx="19335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30</xdr:row>
      <xdr:rowOff>0</xdr:rowOff>
    </xdr:from>
    <xdr:to>
      <xdr:col>117</xdr:col>
      <xdr:colOff>0</xdr:colOff>
      <xdr:row>37</xdr:row>
      <xdr:rowOff>0</xdr:rowOff>
    </xdr:to>
    <xdr:sp>
      <xdr:nvSpPr>
        <xdr:cNvPr id="438" name="Rectangle 442"/>
        <xdr:cNvSpPr>
          <a:spLocks/>
        </xdr:cNvSpPr>
      </xdr:nvSpPr>
      <xdr:spPr>
        <a:xfrm>
          <a:off x="85420200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30</xdr:row>
      <xdr:rowOff>0</xdr:rowOff>
    </xdr:from>
    <xdr:to>
      <xdr:col>116</xdr:col>
      <xdr:colOff>0</xdr:colOff>
      <xdr:row>37</xdr:row>
      <xdr:rowOff>0</xdr:rowOff>
    </xdr:to>
    <xdr:sp>
      <xdr:nvSpPr>
        <xdr:cNvPr id="439" name="Rectangle 443"/>
        <xdr:cNvSpPr>
          <a:spLocks/>
        </xdr:cNvSpPr>
      </xdr:nvSpPr>
      <xdr:spPr>
        <a:xfrm>
          <a:off x="82800825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30</xdr:row>
      <xdr:rowOff>0</xdr:rowOff>
    </xdr:from>
    <xdr:to>
      <xdr:col>113</xdr:col>
      <xdr:colOff>0</xdr:colOff>
      <xdr:row>37</xdr:row>
      <xdr:rowOff>0</xdr:rowOff>
    </xdr:to>
    <xdr:sp>
      <xdr:nvSpPr>
        <xdr:cNvPr id="440" name="Rectangle 444"/>
        <xdr:cNvSpPr>
          <a:spLocks/>
        </xdr:cNvSpPr>
      </xdr:nvSpPr>
      <xdr:spPr>
        <a:xfrm>
          <a:off x="82800825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29</xdr:row>
      <xdr:rowOff>0</xdr:rowOff>
    </xdr:from>
    <xdr:to>
      <xdr:col>120</xdr:col>
      <xdr:colOff>0</xdr:colOff>
      <xdr:row>37</xdr:row>
      <xdr:rowOff>0</xdr:rowOff>
    </xdr:to>
    <xdr:sp>
      <xdr:nvSpPr>
        <xdr:cNvPr id="441" name="Rectangle 445"/>
        <xdr:cNvSpPr>
          <a:spLocks/>
        </xdr:cNvSpPr>
      </xdr:nvSpPr>
      <xdr:spPr>
        <a:xfrm>
          <a:off x="86467950" y="4857750"/>
          <a:ext cx="19335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29</xdr:row>
      <xdr:rowOff>0</xdr:rowOff>
    </xdr:from>
    <xdr:to>
      <xdr:col>117</xdr:col>
      <xdr:colOff>0</xdr:colOff>
      <xdr:row>37</xdr:row>
      <xdr:rowOff>0</xdr:rowOff>
    </xdr:to>
    <xdr:sp>
      <xdr:nvSpPr>
        <xdr:cNvPr id="442" name="Rectangle 446"/>
        <xdr:cNvSpPr>
          <a:spLocks/>
        </xdr:cNvSpPr>
      </xdr:nvSpPr>
      <xdr:spPr>
        <a:xfrm>
          <a:off x="8542020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29</xdr:row>
      <xdr:rowOff>0</xdr:rowOff>
    </xdr:from>
    <xdr:to>
      <xdr:col>116</xdr:col>
      <xdr:colOff>0</xdr:colOff>
      <xdr:row>37</xdr:row>
      <xdr:rowOff>0</xdr:rowOff>
    </xdr:to>
    <xdr:sp>
      <xdr:nvSpPr>
        <xdr:cNvPr id="443" name="Rectangle 447"/>
        <xdr:cNvSpPr>
          <a:spLocks/>
        </xdr:cNvSpPr>
      </xdr:nvSpPr>
      <xdr:spPr>
        <a:xfrm>
          <a:off x="834771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29</xdr:row>
      <xdr:rowOff>0</xdr:rowOff>
    </xdr:from>
    <xdr:to>
      <xdr:col>113</xdr:col>
      <xdr:colOff>0</xdr:colOff>
      <xdr:row>37</xdr:row>
      <xdr:rowOff>0</xdr:rowOff>
    </xdr:to>
    <xdr:sp>
      <xdr:nvSpPr>
        <xdr:cNvPr id="444" name="Rectangle 448"/>
        <xdr:cNvSpPr>
          <a:spLocks/>
        </xdr:cNvSpPr>
      </xdr:nvSpPr>
      <xdr:spPr>
        <a:xfrm>
          <a:off x="8280082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29</xdr:row>
      <xdr:rowOff>0</xdr:rowOff>
    </xdr:from>
    <xdr:to>
      <xdr:col>131</xdr:col>
      <xdr:colOff>0</xdr:colOff>
      <xdr:row>37</xdr:row>
      <xdr:rowOff>0</xdr:rowOff>
    </xdr:to>
    <xdr:sp>
      <xdr:nvSpPr>
        <xdr:cNvPr id="445" name="Rectangle 449"/>
        <xdr:cNvSpPr>
          <a:spLocks/>
        </xdr:cNvSpPr>
      </xdr:nvSpPr>
      <xdr:spPr>
        <a:xfrm>
          <a:off x="945642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29</xdr:row>
      <xdr:rowOff>0</xdr:rowOff>
    </xdr:from>
    <xdr:to>
      <xdr:col>128</xdr:col>
      <xdr:colOff>0</xdr:colOff>
      <xdr:row>37</xdr:row>
      <xdr:rowOff>0</xdr:rowOff>
    </xdr:to>
    <xdr:sp>
      <xdr:nvSpPr>
        <xdr:cNvPr id="446" name="Rectangle 450"/>
        <xdr:cNvSpPr>
          <a:spLocks/>
        </xdr:cNvSpPr>
      </xdr:nvSpPr>
      <xdr:spPr>
        <a:xfrm>
          <a:off x="9351645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29</xdr:row>
      <xdr:rowOff>0</xdr:rowOff>
    </xdr:from>
    <xdr:to>
      <xdr:col>127</xdr:col>
      <xdr:colOff>0</xdr:colOff>
      <xdr:row>37</xdr:row>
      <xdr:rowOff>0</xdr:rowOff>
    </xdr:to>
    <xdr:sp>
      <xdr:nvSpPr>
        <xdr:cNvPr id="447" name="Rectangle 451"/>
        <xdr:cNvSpPr>
          <a:spLocks/>
        </xdr:cNvSpPr>
      </xdr:nvSpPr>
      <xdr:spPr>
        <a:xfrm>
          <a:off x="90897075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29</xdr:row>
      <xdr:rowOff>0</xdr:rowOff>
    </xdr:from>
    <xdr:to>
      <xdr:col>124</xdr:col>
      <xdr:colOff>0</xdr:colOff>
      <xdr:row>37</xdr:row>
      <xdr:rowOff>0</xdr:rowOff>
    </xdr:to>
    <xdr:sp>
      <xdr:nvSpPr>
        <xdr:cNvPr id="448" name="Rectangle 452"/>
        <xdr:cNvSpPr>
          <a:spLocks/>
        </xdr:cNvSpPr>
      </xdr:nvSpPr>
      <xdr:spPr>
        <a:xfrm>
          <a:off x="9089707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30</xdr:row>
      <xdr:rowOff>0</xdr:rowOff>
    </xdr:from>
    <xdr:to>
      <xdr:col>131</xdr:col>
      <xdr:colOff>0</xdr:colOff>
      <xdr:row>37</xdr:row>
      <xdr:rowOff>0</xdr:rowOff>
    </xdr:to>
    <xdr:sp>
      <xdr:nvSpPr>
        <xdr:cNvPr id="449" name="Rectangle 453"/>
        <xdr:cNvSpPr>
          <a:spLocks/>
        </xdr:cNvSpPr>
      </xdr:nvSpPr>
      <xdr:spPr>
        <a:xfrm>
          <a:off x="94564200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30</xdr:row>
      <xdr:rowOff>0</xdr:rowOff>
    </xdr:from>
    <xdr:to>
      <xdr:col>128</xdr:col>
      <xdr:colOff>0</xdr:colOff>
      <xdr:row>37</xdr:row>
      <xdr:rowOff>0</xdr:rowOff>
    </xdr:to>
    <xdr:sp>
      <xdr:nvSpPr>
        <xdr:cNvPr id="450" name="Rectangle 454"/>
        <xdr:cNvSpPr>
          <a:spLocks/>
        </xdr:cNvSpPr>
      </xdr:nvSpPr>
      <xdr:spPr>
        <a:xfrm>
          <a:off x="93516450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30</xdr:row>
      <xdr:rowOff>0</xdr:rowOff>
    </xdr:from>
    <xdr:to>
      <xdr:col>127</xdr:col>
      <xdr:colOff>0</xdr:colOff>
      <xdr:row>37</xdr:row>
      <xdr:rowOff>0</xdr:rowOff>
    </xdr:to>
    <xdr:sp>
      <xdr:nvSpPr>
        <xdr:cNvPr id="451" name="Rectangle 455"/>
        <xdr:cNvSpPr>
          <a:spLocks/>
        </xdr:cNvSpPr>
      </xdr:nvSpPr>
      <xdr:spPr>
        <a:xfrm>
          <a:off x="90897075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30</xdr:row>
      <xdr:rowOff>0</xdr:rowOff>
    </xdr:from>
    <xdr:to>
      <xdr:col>124</xdr:col>
      <xdr:colOff>0</xdr:colOff>
      <xdr:row>37</xdr:row>
      <xdr:rowOff>0</xdr:rowOff>
    </xdr:to>
    <xdr:sp>
      <xdr:nvSpPr>
        <xdr:cNvPr id="452" name="Rectangle 456"/>
        <xdr:cNvSpPr>
          <a:spLocks/>
        </xdr:cNvSpPr>
      </xdr:nvSpPr>
      <xdr:spPr>
        <a:xfrm>
          <a:off x="90897075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29</xdr:row>
      <xdr:rowOff>0</xdr:rowOff>
    </xdr:from>
    <xdr:to>
      <xdr:col>131</xdr:col>
      <xdr:colOff>0</xdr:colOff>
      <xdr:row>37</xdr:row>
      <xdr:rowOff>0</xdr:rowOff>
    </xdr:to>
    <xdr:sp>
      <xdr:nvSpPr>
        <xdr:cNvPr id="453" name="Rectangle 457"/>
        <xdr:cNvSpPr>
          <a:spLocks/>
        </xdr:cNvSpPr>
      </xdr:nvSpPr>
      <xdr:spPr>
        <a:xfrm>
          <a:off x="9456420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29</xdr:row>
      <xdr:rowOff>0</xdr:rowOff>
    </xdr:from>
    <xdr:to>
      <xdr:col>128</xdr:col>
      <xdr:colOff>0</xdr:colOff>
      <xdr:row>37</xdr:row>
      <xdr:rowOff>0</xdr:rowOff>
    </xdr:to>
    <xdr:sp>
      <xdr:nvSpPr>
        <xdr:cNvPr id="454" name="Rectangle 458"/>
        <xdr:cNvSpPr>
          <a:spLocks/>
        </xdr:cNvSpPr>
      </xdr:nvSpPr>
      <xdr:spPr>
        <a:xfrm>
          <a:off x="93516450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0</xdr:colOff>
      <xdr:row>29</xdr:row>
      <xdr:rowOff>0</xdr:rowOff>
    </xdr:from>
    <xdr:to>
      <xdr:col>127</xdr:col>
      <xdr:colOff>0</xdr:colOff>
      <xdr:row>37</xdr:row>
      <xdr:rowOff>0</xdr:rowOff>
    </xdr:to>
    <xdr:sp>
      <xdr:nvSpPr>
        <xdr:cNvPr id="455" name="Rectangle 459"/>
        <xdr:cNvSpPr>
          <a:spLocks/>
        </xdr:cNvSpPr>
      </xdr:nvSpPr>
      <xdr:spPr>
        <a:xfrm>
          <a:off x="91573350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29</xdr:row>
      <xdr:rowOff>0</xdr:rowOff>
    </xdr:from>
    <xdr:to>
      <xdr:col>124</xdr:col>
      <xdr:colOff>0</xdr:colOff>
      <xdr:row>37</xdr:row>
      <xdr:rowOff>0</xdr:rowOff>
    </xdr:to>
    <xdr:sp>
      <xdr:nvSpPr>
        <xdr:cNvPr id="456" name="Rectangle 460"/>
        <xdr:cNvSpPr>
          <a:spLocks/>
        </xdr:cNvSpPr>
      </xdr:nvSpPr>
      <xdr:spPr>
        <a:xfrm>
          <a:off x="90897075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29</xdr:row>
      <xdr:rowOff>0</xdr:rowOff>
    </xdr:from>
    <xdr:to>
      <xdr:col>142</xdr:col>
      <xdr:colOff>0</xdr:colOff>
      <xdr:row>37</xdr:row>
      <xdr:rowOff>0</xdr:rowOff>
    </xdr:to>
    <xdr:sp>
      <xdr:nvSpPr>
        <xdr:cNvPr id="457" name="Rectangle 461"/>
        <xdr:cNvSpPr>
          <a:spLocks/>
        </xdr:cNvSpPr>
      </xdr:nvSpPr>
      <xdr:spPr>
        <a:xfrm>
          <a:off x="1026699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29</xdr:row>
      <xdr:rowOff>0</xdr:rowOff>
    </xdr:from>
    <xdr:to>
      <xdr:col>139</xdr:col>
      <xdr:colOff>0</xdr:colOff>
      <xdr:row>37</xdr:row>
      <xdr:rowOff>0</xdr:rowOff>
    </xdr:to>
    <xdr:sp>
      <xdr:nvSpPr>
        <xdr:cNvPr id="458" name="Rectangle 462"/>
        <xdr:cNvSpPr>
          <a:spLocks/>
        </xdr:cNvSpPr>
      </xdr:nvSpPr>
      <xdr:spPr>
        <a:xfrm>
          <a:off x="1016222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29</xdr:row>
      <xdr:rowOff>0</xdr:rowOff>
    </xdr:from>
    <xdr:to>
      <xdr:col>138</xdr:col>
      <xdr:colOff>0</xdr:colOff>
      <xdr:row>37</xdr:row>
      <xdr:rowOff>0</xdr:rowOff>
    </xdr:to>
    <xdr:sp>
      <xdr:nvSpPr>
        <xdr:cNvPr id="459" name="Rectangle 463"/>
        <xdr:cNvSpPr>
          <a:spLocks/>
        </xdr:cNvSpPr>
      </xdr:nvSpPr>
      <xdr:spPr>
        <a:xfrm>
          <a:off x="99002850" y="4857750"/>
          <a:ext cx="26193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29</xdr:row>
      <xdr:rowOff>0</xdr:rowOff>
    </xdr:from>
    <xdr:to>
      <xdr:col>135</xdr:col>
      <xdr:colOff>0</xdr:colOff>
      <xdr:row>37</xdr:row>
      <xdr:rowOff>0</xdr:rowOff>
    </xdr:to>
    <xdr:sp>
      <xdr:nvSpPr>
        <xdr:cNvPr id="460" name="Rectangle 464"/>
        <xdr:cNvSpPr>
          <a:spLocks/>
        </xdr:cNvSpPr>
      </xdr:nvSpPr>
      <xdr:spPr>
        <a:xfrm>
          <a:off x="990028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30</xdr:row>
      <xdr:rowOff>0</xdr:rowOff>
    </xdr:from>
    <xdr:to>
      <xdr:col>142</xdr:col>
      <xdr:colOff>0</xdr:colOff>
      <xdr:row>37</xdr:row>
      <xdr:rowOff>0</xdr:rowOff>
    </xdr:to>
    <xdr:sp>
      <xdr:nvSpPr>
        <xdr:cNvPr id="461" name="Rectangle 465"/>
        <xdr:cNvSpPr>
          <a:spLocks/>
        </xdr:cNvSpPr>
      </xdr:nvSpPr>
      <xdr:spPr>
        <a:xfrm>
          <a:off x="102669975" y="5029200"/>
          <a:ext cx="1943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30</xdr:row>
      <xdr:rowOff>0</xdr:rowOff>
    </xdr:from>
    <xdr:to>
      <xdr:col>139</xdr:col>
      <xdr:colOff>0</xdr:colOff>
      <xdr:row>37</xdr:row>
      <xdr:rowOff>0</xdr:rowOff>
    </xdr:to>
    <xdr:sp>
      <xdr:nvSpPr>
        <xdr:cNvPr id="462" name="Rectangle 466"/>
        <xdr:cNvSpPr>
          <a:spLocks/>
        </xdr:cNvSpPr>
      </xdr:nvSpPr>
      <xdr:spPr>
        <a:xfrm>
          <a:off x="101622225" y="5029200"/>
          <a:ext cx="10477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30</xdr:row>
      <xdr:rowOff>0</xdr:rowOff>
    </xdr:from>
    <xdr:to>
      <xdr:col>138</xdr:col>
      <xdr:colOff>0</xdr:colOff>
      <xdr:row>37</xdr:row>
      <xdr:rowOff>0</xdr:rowOff>
    </xdr:to>
    <xdr:sp>
      <xdr:nvSpPr>
        <xdr:cNvPr id="463" name="Rectangle 467"/>
        <xdr:cNvSpPr>
          <a:spLocks/>
        </xdr:cNvSpPr>
      </xdr:nvSpPr>
      <xdr:spPr>
        <a:xfrm>
          <a:off x="99002850" y="5029200"/>
          <a:ext cx="26193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30</xdr:row>
      <xdr:rowOff>0</xdr:rowOff>
    </xdr:from>
    <xdr:to>
      <xdr:col>135</xdr:col>
      <xdr:colOff>0</xdr:colOff>
      <xdr:row>37</xdr:row>
      <xdr:rowOff>0</xdr:rowOff>
    </xdr:to>
    <xdr:sp>
      <xdr:nvSpPr>
        <xdr:cNvPr id="464" name="Rectangle 468"/>
        <xdr:cNvSpPr>
          <a:spLocks/>
        </xdr:cNvSpPr>
      </xdr:nvSpPr>
      <xdr:spPr>
        <a:xfrm>
          <a:off x="99002850" y="5029200"/>
          <a:ext cx="676275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29</xdr:row>
      <xdr:rowOff>0</xdr:rowOff>
    </xdr:from>
    <xdr:to>
      <xdr:col>142</xdr:col>
      <xdr:colOff>0</xdr:colOff>
      <xdr:row>37</xdr:row>
      <xdr:rowOff>0</xdr:rowOff>
    </xdr:to>
    <xdr:sp>
      <xdr:nvSpPr>
        <xdr:cNvPr id="465" name="Rectangle 469"/>
        <xdr:cNvSpPr>
          <a:spLocks/>
        </xdr:cNvSpPr>
      </xdr:nvSpPr>
      <xdr:spPr>
        <a:xfrm>
          <a:off x="10266997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29</xdr:row>
      <xdr:rowOff>0</xdr:rowOff>
    </xdr:from>
    <xdr:to>
      <xdr:col>139</xdr:col>
      <xdr:colOff>0</xdr:colOff>
      <xdr:row>37</xdr:row>
      <xdr:rowOff>0</xdr:rowOff>
    </xdr:to>
    <xdr:sp>
      <xdr:nvSpPr>
        <xdr:cNvPr id="466" name="Rectangle 470"/>
        <xdr:cNvSpPr>
          <a:spLocks/>
        </xdr:cNvSpPr>
      </xdr:nvSpPr>
      <xdr:spPr>
        <a:xfrm>
          <a:off x="101622225" y="4857750"/>
          <a:ext cx="104775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29</xdr:row>
      <xdr:rowOff>0</xdr:rowOff>
    </xdr:from>
    <xdr:to>
      <xdr:col>138</xdr:col>
      <xdr:colOff>0</xdr:colOff>
      <xdr:row>37</xdr:row>
      <xdr:rowOff>0</xdr:rowOff>
    </xdr:to>
    <xdr:sp>
      <xdr:nvSpPr>
        <xdr:cNvPr id="467" name="Rectangle 471"/>
        <xdr:cNvSpPr>
          <a:spLocks/>
        </xdr:cNvSpPr>
      </xdr:nvSpPr>
      <xdr:spPr>
        <a:xfrm>
          <a:off x="99679125" y="4857750"/>
          <a:ext cx="1943100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29</xdr:row>
      <xdr:rowOff>0</xdr:rowOff>
    </xdr:from>
    <xdr:to>
      <xdr:col>135</xdr:col>
      <xdr:colOff>0</xdr:colOff>
      <xdr:row>37</xdr:row>
      <xdr:rowOff>0</xdr:rowOff>
    </xdr:to>
    <xdr:sp>
      <xdr:nvSpPr>
        <xdr:cNvPr id="468" name="Rectangle 472"/>
        <xdr:cNvSpPr>
          <a:spLocks/>
        </xdr:cNvSpPr>
      </xdr:nvSpPr>
      <xdr:spPr>
        <a:xfrm>
          <a:off x="99002850" y="4857750"/>
          <a:ext cx="676275" cy="1362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9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62275" y="1657350"/>
          <a:ext cx="39338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13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896100" y="1657350"/>
          <a:ext cx="19431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16</xdr:col>
      <xdr:colOff>0</xdr:colOff>
      <xdr:row>26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839200" y="1657350"/>
          <a:ext cx="14859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9</xdr:col>
      <xdr:colOff>0</xdr:colOff>
      <xdr:row>32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62275" y="4552950"/>
          <a:ext cx="3933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0</xdr:colOff>
      <xdr:row>39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962275" y="5410200"/>
          <a:ext cx="39338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13</xdr:col>
      <xdr:colOff>0</xdr:colOff>
      <xdr:row>39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896100" y="5410200"/>
          <a:ext cx="19431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13</xdr:col>
      <xdr:colOff>0</xdr:colOff>
      <xdr:row>32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896100" y="4552950"/>
          <a:ext cx="1943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16</xdr:col>
      <xdr:colOff>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39200" y="4552950"/>
          <a:ext cx="14859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9</xdr:col>
      <xdr:colOff>0</xdr:colOff>
      <xdr:row>46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962275" y="6781800"/>
          <a:ext cx="39338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13</xdr:col>
      <xdr:colOff>0</xdr:colOff>
      <xdr:row>46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896100" y="6781800"/>
          <a:ext cx="19431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16</xdr:col>
      <xdr:colOff>0</xdr:colOff>
      <xdr:row>39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39200" y="5410200"/>
          <a:ext cx="14859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16</xdr:col>
      <xdr:colOff>0</xdr:colOff>
      <xdr:row>46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39200" y="6781800"/>
          <a:ext cx="14859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20</xdr:col>
      <xdr:colOff>0</xdr:colOff>
      <xdr:row>32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325100" y="4552950"/>
          <a:ext cx="2143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20</xdr:col>
      <xdr:colOff>0</xdr:colOff>
      <xdr:row>26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325100" y="1485900"/>
          <a:ext cx="21431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20</xdr:col>
      <xdr:colOff>0</xdr:colOff>
      <xdr:row>39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325100" y="5410200"/>
          <a:ext cx="2143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20</xdr:col>
      <xdr:colOff>0</xdr:colOff>
      <xdr:row>46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325100" y="6781800"/>
          <a:ext cx="2143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33</xdr:row>
      <xdr:rowOff>0</xdr:rowOff>
    </xdr:from>
    <xdr:to>
      <xdr:col>8</xdr:col>
      <xdr:colOff>447675</xdr:colOff>
      <xdr:row>39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962275" y="5410200"/>
          <a:ext cx="39338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11</xdr:row>
      <xdr:rowOff>0</xdr:rowOff>
    </xdr:from>
    <xdr:to>
      <xdr:col>36</xdr:col>
      <xdr:colOff>0</xdr:colOff>
      <xdr:row>26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19935825" y="1657350"/>
          <a:ext cx="13811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29</xdr:col>
      <xdr:colOff>0</xdr:colOff>
      <xdr:row>32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14820900" y="4552950"/>
          <a:ext cx="3438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29</xdr:col>
      <xdr:colOff>0</xdr:colOff>
      <xdr:row>39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14820900" y="5410200"/>
          <a:ext cx="3438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33</xdr:col>
      <xdr:colOff>0</xdr:colOff>
      <xdr:row>39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18259425" y="5410200"/>
          <a:ext cx="16764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33</xdr:col>
      <xdr:colOff>0</xdr:colOff>
      <xdr:row>32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18259425" y="4552950"/>
          <a:ext cx="16764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19935825" y="4552950"/>
          <a:ext cx="1381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29</xdr:col>
      <xdr:colOff>0</xdr:colOff>
      <xdr:row>46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14820900" y="6781800"/>
          <a:ext cx="3438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41</xdr:row>
      <xdr:rowOff>0</xdr:rowOff>
    </xdr:from>
    <xdr:to>
      <xdr:col>33</xdr:col>
      <xdr:colOff>0</xdr:colOff>
      <xdr:row>46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18259425" y="6781800"/>
          <a:ext cx="16764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36</xdr:col>
      <xdr:colOff>0</xdr:colOff>
      <xdr:row>39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19935825" y="541020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36</xdr:col>
      <xdr:colOff>0</xdr:colOff>
      <xdr:row>46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19935825" y="6781800"/>
          <a:ext cx="1381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40</xdr:col>
      <xdr:colOff>0</xdr:colOff>
      <xdr:row>32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21316950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40</xdr:col>
      <xdr:colOff>0</xdr:colOff>
      <xdr:row>26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21316950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40</xdr:col>
      <xdr:colOff>0</xdr:colOff>
      <xdr:row>39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21316950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40</xdr:col>
      <xdr:colOff>0</xdr:colOff>
      <xdr:row>46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21316950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0</xdr:rowOff>
    </xdr:from>
    <xdr:to>
      <xdr:col>49</xdr:col>
      <xdr:colOff>0</xdr:colOff>
      <xdr:row>26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25565100" y="1657350"/>
          <a:ext cx="33623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11</xdr:row>
      <xdr:rowOff>0</xdr:rowOff>
    </xdr:from>
    <xdr:to>
      <xdr:col>53</xdr:col>
      <xdr:colOff>0</xdr:colOff>
      <xdr:row>26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28927425" y="1657350"/>
          <a:ext cx="16192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11</xdr:row>
      <xdr:rowOff>0</xdr:rowOff>
    </xdr:from>
    <xdr:to>
      <xdr:col>56</xdr:col>
      <xdr:colOff>0</xdr:colOff>
      <xdr:row>26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30546675" y="1657350"/>
          <a:ext cx="13811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0</xdr:rowOff>
    </xdr:from>
    <xdr:to>
      <xdr:col>49</xdr:col>
      <xdr:colOff>0</xdr:colOff>
      <xdr:row>32</xdr:row>
      <xdr:rowOff>0</xdr:rowOff>
    </xdr:to>
    <xdr:sp>
      <xdr:nvSpPr>
        <xdr:cNvPr id="35" name="Rectangle 38"/>
        <xdr:cNvSpPr>
          <a:spLocks/>
        </xdr:cNvSpPr>
      </xdr:nvSpPr>
      <xdr:spPr>
        <a:xfrm>
          <a:off x="25565100" y="4552950"/>
          <a:ext cx="33623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49</xdr:col>
      <xdr:colOff>0</xdr:colOff>
      <xdr:row>39</xdr:row>
      <xdr:rowOff>0</xdr:rowOff>
    </xdr:to>
    <xdr:sp>
      <xdr:nvSpPr>
        <xdr:cNvPr id="36" name="Rectangle 39"/>
        <xdr:cNvSpPr>
          <a:spLocks/>
        </xdr:cNvSpPr>
      </xdr:nvSpPr>
      <xdr:spPr>
        <a:xfrm>
          <a:off x="25565100" y="5410200"/>
          <a:ext cx="33623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53</xdr:col>
      <xdr:colOff>0</xdr:colOff>
      <xdr:row>39</xdr:row>
      <xdr:rowOff>0</xdr:rowOff>
    </xdr:to>
    <xdr:sp>
      <xdr:nvSpPr>
        <xdr:cNvPr id="37" name="Rectangle 40"/>
        <xdr:cNvSpPr>
          <a:spLocks/>
        </xdr:cNvSpPr>
      </xdr:nvSpPr>
      <xdr:spPr>
        <a:xfrm>
          <a:off x="28927425" y="5410200"/>
          <a:ext cx="16192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0</xdr:rowOff>
    </xdr:from>
    <xdr:to>
      <xdr:col>53</xdr:col>
      <xdr:colOff>0</xdr:colOff>
      <xdr:row>32</xdr:row>
      <xdr:rowOff>0</xdr:rowOff>
    </xdr:to>
    <xdr:sp>
      <xdr:nvSpPr>
        <xdr:cNvPr id="38" name="Rectangle 41"/>
        <xdr:cNvSpPr>
          <a:spLocks/>
        </xdr:cNvSpPr>
      </xdr:nvSpPr>
      <xdr:spPr>
        <a:xfrm>
          <a:off x="28927425" y="4552950"/>
          <a:ext cx="16192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28</xdr:row>
      <xdr:rowOff>0</xdr:rowOff>
    </xdr:from>
    <xdr:to>
      <xdr:col>56</xdr:col>
      <xdr:colOff>0</xdr:colOff>
      <xdr:row>32</xdr:row>
      <xdr:rowOff>0</xdr:rowOff>
    </xdr:to>
    <xdr:sp>
      <xdr:nvSpPr>
        <xdr:cNvPr id="39" name="Rectangle 42"/>
        <xdr:cNvSpPr>
          <a:spLocks/>
        </xdr:cNvSpPr>
      </xdr:nvSpPr>
      <xdr:spPr>
        <a:xfrm>
          <a:off x="30546675" y="4552950"/>
          <a:ext cx="1381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0</xdr:colOff>
      <xdr:row>46</xdr:row>
      <xdr:rowOff>0</xdr:rowOff>
    </xdr:to>
    <xdr:sp>
      <xdr:nvSpPr>
        <xdr:cNvPr id="40" name="Rectangle 43"/>
        <xdr:cNvSpPr>
          <a:spLocks/>
        </xdr:cNvSpPr>
      </xdr:nvSpPr>
      <xdr:spPr>
        <a:xfrm>
          <a:off x="25565100" y="6781800"/>
          <a:ext cx="33623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41</xdr:row>
      <xdr:rowOff>0</xdr:rowOff>
    </xdr:from>
    <xdr:to>
      <xdr:col>53</xdr:col>
      <xdr:colOff>0</xdr:colOff>
      <xdr:row>46</xdr:row>
      <xdr:rowOff>0</xdr:rowOff>
    </xdr:to>
    <xdr:sp>
      <xdr:nvSpPr>
        <xdr:cNvPr id="41" name="Rectangle 44"/>
        <xdr:cNvSpPr>
          <a:spLocks/>
        </xdr:cNvSpPr>
      </xdr:nvSpPr>
      <xdr:spPr>
        <a:xfrm>
          <a:off x="28927425" y="6781800"/>
          <a:ext cx="16192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33</xdr:row>
      <xdr:rowOff>0</xdr:rowOff>
    </xdr:from>
    <xdr:to>
      <xdr:col>56</xdr:col>
      <xdr:colOff>0</xdr:colOff>
      <xdr:row>39</xdr:row>
      <xdr:rowOff>0</xdr:rowOff>
    </xdr:to>
    <xdr:sp>
      <xdr:nvSpPr>
        <xdr:cNvPr id="42" name="Rectangle 45"/>
        <xdr:cNvSpPr>
          <a:spLocks/>
        </xdr:cNvSpPr>
      </xdr:nvSpPr>
      <xdr:spPr>
        <a:xfrm>
          <a:off x="30546675" y="541020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56</xdr:col>
      <xdr:colOff>0</xdr:colOff>
      <xdr:row>46</xdr:row>
      <xdr:rowOff>0</xdr:rowOff>
    </xdr:to>
    <xdr:sp>
      <xdr:nvSpPr>
        <xdr:cNvPr id="43" name="Rectangle 46"/>
        <xdr:cNvSpPr>
          <a:spLocks/>
        </xdr:cNvSpPr>
      </xdr:nvSpPr>
      <xdr:spPr>
        <a:xfrm>
          <a:off x="30546675" y="6781800"/>
          <a:ext cx="1381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60</xdr:col>
      <xdr:colOff>0</xdr:colOff>
      <xdr:row>32</xdr:row>
      <xdr:rowOff>0</xdr:rowOff>
    </xdr:to>
    <xdr:sp>
      <xdr:nvSpPr>
        <xdr:cNvPr id="44" name="Rectangle 47"/>
        <xdr:cNvSpPr>
          <a:spLocks/>
        </xdr:cNvSpPr>
      </xdr:nvSpPr>
      <xdr:spPr>
        <a:xfrm>
          <a:off x="31927800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10</xdr:row>
      <xdr:rowOff>0</xdr:rowOff>
    </xdr:from>
    <xdr:to>
      <xdr:col>60</xdr:col>
      <xdr:colOff>0</xdr:colOff>
      <xdr:row>26</xdr:row>
      <xdr:rowOff>0</xdr:rowOff>
    </xdr:to>
    <xdr:sp>
      <xdr:nvSpPr>
        <xdr:cNvPr id="45" name="Rectangle 48"/>
        <xdr:cNvSpPr>
          <a:spLocks/>
        </xdr:cNvSpPr>
      </xdr:nvSpPr>
      <xdr:spPr>
        <a:xfrm>
          <a:off x="31927800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33</xdr:row>
      <xdr:rowOff>0</xdr:rowOff>
    </xdr:from>
    <xdr:to>
      <xdr:col>60</xdr:col>
      <xdr:colOff>0</xdr:colOff>
      <xdr:row>39</xdr:row>
      <xdr:rowOff>0</xdr:rowOff>
    </xdr:to>
    <xdr:sp>
      <xdr:nvSpPr>
        <xdr:cNvPr id="46" name="Rectangle 49"/>
        <xdr:cNvSpPr>
          <a:spLocks/>
        </xdr:cNvSpPr>
      </xdr:nvSpPr>
      <xdr:spPr>
        <a:xfrm>
          <a:off x="31927800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60</xdr:col>
      <xdr:colOff>0</xdr:colOff>
      <xdr:row>46</xdr:row>
      <xdr:rowOff>0</xdr:rowOff>
    </xdr:to>
    <xdr:sp>
      <xdr:nvSpPr>
        <xdr:cNvPr id="47" name="Rectangle 50"/>
        <xdr:cNvSpPr>
          <a:spLocks/>
        </xdr:cNvSpPr>
      </xdr:nvSpPr>
      <xdr:spPr>
        <a:xfrm>
          <a:off x="31927800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866775</xdr:colOff>
      <xdr:row>33</xdr:row>
      <xdr:rowOff>0</xdr:rowOff>
    </xdr:from>
    <xdr:to>
      <xdr:col>48</xdr:col>
      <xdr:colOff>409575</xdr:colOff>
      <xdr:row>39</xdr:row>
      <xdr:rowOff>0</xdr:rowOff>
    </xdr:to>
    <xdr:sp>
      <xdr:nvSpPr>
        <xdr:cNvPr id="48" name="Rectangle 51"/>
        <xdr:cNvSpPr>
          <a:spLocks/>
        </xdr:cNvSpPr>
      </xdr:nvSpPr>
      <xdr:spPr>
        <a:xfrm>
          <a:off x="25565100" y="5410200"/>
          <a:ext cx="33623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0</xdr:rowOff>
    </xdr:from>
    <xdr:to>
      <xdr:col>69</xdr:col>
      <xdr:colOff>0</xdr:colOff>
      <xdr:row>26</xdr:row>
      <xdr:rowOff>0</xdr:rowOff>
    </xdr:to>
    <xdr:sp>
      <xdr:nvSpPr>
        <xdr:cNvPr id="49" name="Rectangle 52"/>
        <xdr:cNvSpPr>
          <a:spLocks/>
        </xdr:cNvSpPr>
      </xdr:nvSpPr>
      <xdr:spPr>
        <a:xfrm>
          <a:off x="36204525" y="1657350"/>
          <a:ext cx="353377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11</xdr:row>
      <xdr:rowOff>0</xdr:rowOff>
    </xdr:from>
    <xdr:to>
      <xdr:col>73</xdr:col>
      <xdr:colOff>0</xdr:colOff>
      <xdr:row>26</xdr:row>
      <xdr:rowOff>0</xdr:rowOff>
    </xdr:to>
    <xdr:sp>
      <xdr:nvSpPr>
        <xdr:cNvPr id="50" name="Rectangle 53"/>
        <xdr:cNvSpPr>
          <a:spLocks/>
        </xdr:cNvSpPr>
      </xdr:nvSpPr>
      <xdr:spPr>
        <a:xfrm>
          <a:off x="39738300" y="1657350"/>
          <a:ext cx="16764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11</xdr:row>
      <xdr:rowOff>0</xdr:rowOff>
    </xdr:from>
    <xdr:to>
      <xdr:col>76</xdr:col>
      <xdr:colOff>0</xdr:colOff>
      <xdr:row>26</xdr:row>
      <xdr:rowOff>0</xdr:rowOff>
    </xdr:to>
    <xdr:sp>
      <xdr:nvSpPr>
        <xdr:cNvPr id="51" name="Rectangle 54"/>
        <xdr:cNvSpPr>
          <a:spLocks/>
        </xdr:cNvSpPr>
      </xdr:nvSpPr>
      <xdr:spPr>
        <a:xfrm>
          <a:off x="41414700" y="1657350"/>
          <a:ext cx="13811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69</xdr:col>
      <xdr:colOff>0</xdr:colOff>
      <xdr:row>32</xdr:row>
      <xdr:rowOff>0</xdr:rowOff>
    </xdr:to>
    <xdr:sp>
      <xdr:nvSpPr>
        <xdr:cNvPr id="52" name="Rectangle 55"/>
        <xdr:cNvSpPr>
          <a:spLocks/>
        </xdr:cNvSpPr>
      </xdr:nvSpPr>
      <xdr:spPr>
        <a:xfrm>
          <a:off x="36204525" y="4552950"/>
          <a:ext cx="35337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33</xdr:row>
      <xdr:rowOff>0</xdr:rowOff>
    </xdr:from>
    <xdr:to>
      <xdr:col>69</xdr:col>
      <xdr:colOff>0</xdr:colOff>
      <xdr:row>39</xdr:row>
      <xdr:rowOff>0</xdr:rowOff>
    </xdr:to>
    <xdr:sp>
      <xdr:nvSpPr>
        <xdr:cNvPr id="53" name="Rectangle 56"/>
        <xdr:cNvSpPr>
          <a:spLocks/>
        </xdr:cNvSpPr>
      </xdr:nvSpPr>
      <xdr:spPr>
        <a:xfrm>
          <a:off x="36204525" y="5410200"/>
          <a:ext cx="35337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33</xdr:row>
      <xdr:rowOff>0</xdr:rowOff>
    </xdr:from>
    <xdr:to>
      <xdr:col>73</xdr:col>
      <xdr:colOff>0</xdr:colOff>
      <xdr:row>39</xdr:row>
      <xdr:rowOff>0</xdr:rowOff>
    </xdr:to>
    <xdr:sp>
      <xdr:nvSpPr>
        <xdr:cNvPr id="54" name="Rectangle 57"/>
        <xdr:cNvSpPr>
          <a:spLocks/>
        </xdr:cNvSpPr>
      </xdr:nvSpPr>
      <xdr:spPr>
        <a:xfrm>
          <a:off x="39738300" y="5410200"/>
          <a:ext cx="16764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0</xdr:rowOff>
    </xdr:from>
    <xdr:to>
      <xdr:col>73</xdr:col>
      <xdr:colOff>0</xdr:colOff>
      <xdr:row>32</xdr:row>
      <xdr:rowOff>0</xdr:rowOff>
    </xdr:to>
    <xdr:sp>
      <xdr:nvSpPr>
        <xdr:cNvPr id="55" name="Rectangle 58"/>
        <xdr:cNvSpPr>
          <a:spLocks/>
        </xdr:cNvSpPr>
      </xdr:nvSpPr>
      <xdr:spPr>
        <a:xfrm>
          <a:off x="39738300" y="4552950"/>
          <a:ext cx="16764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28</xdr:row>
      <xdr:rowOff>0</xdr:rowOff>
    </xdr:from>
    <xdr:to>
      <xdr:col>76</xdr:col>
      <xdr:colOff>0</xdr:colOff>
      <xdr:row>32</xdr:row>
      <xdr:rowOff>0</xdr:rowOff>
    </xdr:to>
    <xdr:sp>
      <xdr:nvSpPr>
        <xdr:cNvPr id="56" name="Rectangle 59"/>
        <xdr:cNvSpPr>
          <a:spLocks/>
        </xdr:cNvSpPr>
      </xdr:nvSpPr>
      <xdr:spPr>
        <a:xfrm>
          <a:off x="41414700" y="4552950"/>
          <a:ext cx="1381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69</xdr:col>
      <xdr:colOff>0</xdr:colOff>
      <xdr:row>46</xdr:row>
      <xdr:rowOff>0</xdr:rowOff>
    </xdr:to>
    <xdr:sp>
      <xdr:nvSpPr>
        <xdr:cNvPr id="57" name="Rectangle 60"/>
        <xdr:cNvSpPr>
          <a:spLocks/>
        </xdr:cNvSpPr>
      </xdr:nvSpPr>
      <xdr:spPr>
        <a:xfrm>
          <a:off x="36204525" y="6781800"/>
          <a:ext cx="35337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41</xdr:row>
      <xdr:rowOff>0</xdr:rowOff>
    </xdr:from>
    <xdr:to>
      <xdr:col>73</xdr:col>
      <xdr:colOff>0</xdr:colOff>
      <xdr:row>46</xdr:row>
      <xdr:rowOff>0</xdr:rowOff>
    </xdr:to>
    <xdr:sp>
      <xdr:nvSpPr>
        <xdr:cNvPr id="58" name="Rectangle 61"/>
        <xdr:cNvSpPr>
          <a:spLocks/>
        </xdr:cNvSpPr>
      </xdr:nvSpPr>
      <xdr:spPr>
        <a:xfrm>
          <a:off x="39738300" y="6781800"/>
          <a:ext cx="16764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0</xdr:rowOff>
    </xdr:from>
    <xdr:to>
      <xdr:col>76</xdr:col>
      <xdr:colOff>0</xdr:colOff>
      <xdr:row>39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41414700" y="541020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41</xdr:row>
      <xdr:rowOff>0</xdr:rowOff>
    </xdr:from>
    <xdr:to>
      <xdr:col>76</xdr:col>
      <xdr:colOff>0</xdr:colOff>
      <xdr:row>46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41414700" y="6781800"/>
          <a:ext cx="1381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80</xdr:col>
      <xdr:colOff>0</xdr:colOff>
      <xdr:row>32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42795825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0</xdr:rowOff>
    </xdr:from>
    <xdr:to>
      <xdr:col>80</xdr:col>
      <xdr:colOff>0</xdr:colOff>
      <xdr:row>26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42795825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33</xdr:row>
      <xdr:rowOff>0</xdr:rowOff>
    </xdr:from>
    <xdr:to>
      <xdr:col>80</xdr:col>
      <xdr:colOff>0</xdr:colOff>
      <xdr:row>39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42795825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41</xdr:row>
      <xdr:rowOff>0</xdr:rowOff>
    </xdr:from>
    <xdr:to>
      <xdr:col>80</xdr:col>
      <xdr:colOff>0</xdr:colOff>
      <xdr:row>46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42795825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866775</xdr:colOff>
      <xdr:row>33</xdr:row>
      <xdr:rowOff>0</xdr:rowOff>
    </xdr:from>
    <xdr:to>
      <xdr:col>68</xdr:col>
      <xdr:colOff>447675</xdr:colOff>
      <xdr:row>39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36204525" y="5410200"/>
          <a:ext cx="35337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89</xdr:col>
      <xdr:colOff>0</xdr:colOff>
      <xdr:row>26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47063025" y="1657350"/>
          <a:ext cx="33623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11</xdr:row>
      <xdr:rowOff>0</xdr:rowOff>
    </xdr:from>
    <xdr:to>
      <xdr:col>93</xdr:col>
      <xdr:colOff>0</xdr:colOff>
      <xdr:row>26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50425350" y="1657350"/>
          <a:ext cx="16192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11</xdr:row>
      <xdr:rowOff>0</xdr:rowOff>
    </xdr:from>
    <xdr:to>
      <xdr:col>96</xdr:col>
      <xdr:colOff>0</xdr:colOff>
      <xdr:row>26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52044600" y="1657350"/>
          <a:ext cx="13144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28</xdr:row>
      <xdr:rowOff>0</xdr:rowOff>
    </xdr:from>
    <xdr:to>
      <xdr:col>89</xdr:col>
      <xdr:colOff>0</xdr:colOff>
      <xdr:row>32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47063025" y="4552950"/>
          <a:ext cx="33623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33</xdr:row>
      <xdr:rowOff>0</xdr:rowOff>
    </xdr:from>
    <xdr:to>
      <xdr:col>89</xdr:col>
      <xdr:colOff>0</xdr:colOff>
      <xdr:row>39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47063025" y="5410200"/>
          <a:ext cx="33623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33</xdr:row>
      <xdr:rowOff>0</xdr:rowOff>
    </xdr:from>
    <xdr:to>
      <xdr:col>93</xdr:col>
      <xdr:colOff>0</xdr:colOff>
      <xdr:row>39</xdr:row>
      <xdr:rowOff>0</xdr:rowOff>
    </xdr:to>
    <xdr:sp>
      <xdr:nvSpPr>
        <xdr:cNvPr id="71" name="Rectangle 74"/>
        <xdr:cNvSpPr>
          <a:spLocks/>
        </xdr:cNvSpPr>
      </xdr:nvSpPr>
      <xdr:spPr>
        <a:xfrm>
          <a:off x="50425350" y="5410200"/>
          <a:ext cx="16192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93</xdr:col>
      <xdr:colOff>0</xdr:colOff>
      <xdr:row>32</xdr:row>
      <xdr:rowOff>0</xdr:rowOff>
    </xdr:to>
    <xdr:sp>
      <xdr:nvSpPr>
        <xdr:cNvPr id="72" name="Rectangle 75"/>
        <xdr:cNvSpPr>
          <a:spLocks/>
        </xdr:cNvSpPr>
      </xdr:nvSpPr>
      <xdr:spPr>
        <a:xfrm>
          <a:off x="50425350" y="4552950"/>
          <a:ext cx="16192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28</xdr:row>
      <xdr:rowOff>0</xdr:rowOff>
    </xdr:from>
    <xdr:to>
      <xdr:col>96</xdr:col>
      <xdr:colOff>0</xdr:colOff>
      <xdr:row>32</xdr:row>
      <xdr:rowOff>0</xdr:rowOff>
    </xdr:to>
    <xdr:sp>
      <xdr:nvSpPr>
        <xdr:cNvPr id="73" name="Rectangle 76"/>
        <xdr:cNvSpPr>
          <a:spLocks/>
        </xdr:cNvSpPr>
      </xdr:nvSpPr>
      <xdr:spPr>
        <a:xfrm>
          <a:off x="52044600" y="4552950"/>
          <a:ext cx="13144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41</xdr:row>
      <xdr:rowOff>0</xdr:rowOff>
    </xdr:from>
    <xdr:to>
      <xdr:col>89</xdr:col>
      <xdr:colOff>0</xdr:colOff>
      <xdr:row>46</xdr:row>
      <xdr:rowOff>0</xdr:rowOff>
    </xdr:to>
    <xdr:sp>
      <xdr:nvSpPr>
        <xdr:cNvPr id="74" name="Rectangle 77"/>
        <xdr:cNvSpPr>
          <a:spLocks/>
        </xdr:cNvSpPr>
      </xdr:nvSpPr>
      <xdr:spPr>
        <a:xfrm>
          <a:off x="47063025" y="6781800"/>
          <a:ext cx="33623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41</xdr:row>
      <xdr:rowOff>0</xdr:rowOff>
    </xdr:from>
    <xdr:to>
      <xdr:col>93</xdr:col>
      <xdr:colOff>0</xdr:colOff>
      <xdr:row>46</xdr:row>
      <xdr:rowOff>0</xdr:rowOff>
    </xdr:to>
    <xdr:sp>
      <xdr:nvSpPr>
        <xdr:cNvPr id="75" name="Rectangle 78"/>
        <xdr:cNvSpPr>
          <a:spLocks/>
        </xdr:cNvSpPr>
      </xdr:nvSpPr>
      <xdr:spPr>
        <a:xfrm>
          <a:off x="50425350" y="6781800"/>
          <a:ext cx="16192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33</xdr:row>
      <xdr:rowOff>0</xdr:rowOff>
    </xdr:from>
    <xdr:to>
      <xdr:col>96</xdr:col>
      <xdr:colOff>0</xdr:colOff>
      <xdr:row>39</xdr:row>
      <xdr:rowOff>0</xdr:rowOff>
    </xdr:to>
    <xdr:sp>
      <xdr:nvSpPr>
        <xdr:cNvPr id="76" name="Rectangle 79"/>
        <xdr:cNvSpPr>
          <a:spLocks/>
        </xdr:cNvSpPr>
      </xdr:nvSpPr>
      <xdr:spPr>
        <a:xfrm>
          <a:off x="52044600" y="5410200"/>
          <a:ext cx="13144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41</xdr:row>
      <xdr:rowOff>0</xdr:rowOff>
    </xdr:from>
    <xdr:to>
      <xdr:col>96</xdr:col>
      <xdr:colOff>0</xdr:colOff>
      <xdr:row>46</xdr:row>
      <xdr:rowOff>0</xdr:rowOff>
    </xdr:to>
    <xdr:sp>
      <xdr:nvSpPr>
        <xdr:cNvPr id="77" name="Rectangle 80"/>
        <xdr:cNvSpPr>
          <a:spLocks/>
        </xdr:cNvSpPr>
      </xdr:nvSpPr>
      <xdr:spPr>
        <a:xfrm>
          <a:off x="52044600" y="6781800"/>
          <a:ext cx="13144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28</xdr:row>
      <xdr:rowOff>0</xdr:rowOff>
    </xdr:from>
    <xdr:to>
      <xdr:col>100</xdr:col>
      <xdr:colOff>0</xdr:colOff>
      <xdr:row>32</xdr:row>
      <xdr:rowOff>0</xdr:rowOff>
    </xdr:to>
    <xdr:sp>
      <xdr:nvSpPr>
        <xdr:cNvPr id="78" name="Rectangle 81"/>
        <xdr:cNvSpPr>
          <a:spLocks/>
        </xdr:cNvSpPr>
      </xdr:nvSpPr>
      <xdr:spPr>
        <a:xfrm>
          <a:off x="53359050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10</xdr:row>
      <xdr:rowOff>0</xdr:rowOff>
    </xdr:from>
    <xdr:to>
      <xdr:col>100</xdr:col>
      <xdr:colOff>0</xdr:colOff>
      <xdr:row>26</xdr:row>
      <xdr:rowOff>0</xdr:rowOff>
    </xdr:to>
    <xdr:sp>
      <xdr:nvSpPr>
        <xdr:cNvPr id="79" name="Rectangle 82"/>
        <xdr:cNvSpPr>
          <a:spLocks/>
        </xdr:cNvSpPr>
      </xdr:nvSpPr>
      <xdr:spPr>
        <a:xfrm>
          <a:off x="53359050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33</xdr:row>
      <xdr:rowOff>0</xdr:rowOff>
    </xdr:from>
    <xdr:to>
      <xdr:col>100</xdr:col>
      <xdr:colOff>0</xdr:colOff>
      <xdr:row>39</xdr:row>
      <xdr:rowOff>0</xdr:rowOff>
    </xdr:to>
    <xdr:sp>
      <xdr:nvSpPr>
        <xdr:cNvPr id="80" name="Rectangle 83"/>
        <xdr:cNvSpPr>
          <a:spLocks/>
        </xdr:cNvSpPr>
      </xdr:nvSpPr>
      <xdr:spPr>
        <a:xfrm>
          <a:off x="53359050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41</xdr:row>
      <xdr:rowOff>0</xdr:rowOff>
    </xdr:from>
    <xdr:to>
      <xdr:col>100</xdr:col>
      <xdr:colOff>0</xdr:colOff>
      <xdr:row>46</xdr:row>
      <xdr:rowOff>0</xdr:rowOff>
    </xdr:to>
    <xdr:sp>
      <xdr:nvSpPr>
        <xdr:cNvPr id="81" name="Rectangle 84"/>
        <xdr:cNvSpPr>
          <a:spLocks/>
        </xdr:cNvSpPr>
      </xdr:nvSpPr>
      <xdr:spPr>
        <a:xfrm>
          <a:off x="53359050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866775</xdr:colOff>
      <xdr:row>33</xdr:row>
      <xdr:rowOff>0</xdr:rowOff>
    </xdr:from>
    <xdr:to>
      <xdr:col>88</xdr:col>
      <xdr:colOff>342900</xdr:colOff>
      <xdr:row>39</xdr:row>
      <xdr:rowOff>0</xdr:rowOff>
    </xdr:to>
    <xdr:sp>
      <xdr:nvSpPr>
        <xdr:cNvPr id="82" name="Rectangle 85"/>
        <xdr:cNvSpPr>
          <a:spLocks/>
        </xdr:cNvSpPr>
      </xdr:nvSpPr>
      <xdr:spPr>
        <a:xfrm>
          <a:off x="47063025" y="5410200"/>
          <a:ext cx="33623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11</xdr:row>
      <xdr:rowOff>0</xdr:rowOff>
    </xdr:from>
    <xdr:to>
      <xdr:col>109</xdr:col>
      <xdr:colOff>0</xdr:colOff>
      <xdr:row>26</xdr:row>
      <xdr:rowOff>0</xdr:rowOff>
    </xdr:to>
    <xdr:sp>
      <xdr:nvSpPr>
        <xdr:cNvPr id="83" name="Rectangle 86"/>
        <xdr:cNvSpPr>
          <a:spLocks/>
        </xdr:cNvSpPr>
      </xdr:nvSpPr>
      <xdr:spPr>
        <a:xfrm>
          <a:off x="57616725" y="1657350"/>
          <a:ext cx="35909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11</xdr:row>
      <xdr:rowOff>0</xdr:rowOff>
    </xdr:from>
    <xdr:to>
      <xdr:col>113</xdr:col>
      <xdr:colOff>0</xdr:colOff>
      <xdr:row>26</xdr:row>
      <xdr:rowOff>0</xdr:rowOff>
    </xdr:to>
    <xdr:sp>
      <xdr:nvSpPr>
        <xdr:cNvPr id="84" name="Rectangle 87"/>
        <xdr:cNvSpPr>
          <a:spLocks/>
        </xdr:cNvSpPr>
      </xdr:nvSpPr>
      <xdr:spPr>
        <a:xfrm>
          <a:off x="61207650" y="1657350"/>
          <a:ext cx="181927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11</xdr:row>
      <xdr:rowOff>0</xdr:rowOff>
    </xdr:from>
    <xdr:to>
      <xdr:col>116</xdr:col>
      <xdr:colOff>0</xdr:colOff>
      <xdr:row>26</xdr:row>
      <xdr:rowOff>0</xdr:rowOff>
    </xdr:to>
    <xdr:sp>
      <xdr:nvSpPr>
        <xdr:cNvPr id="85" name="Rectangle 88"/>
        <xdr:cNvSpPr>
          <a:spLocks/>
        </xdr:cNvSpPr>
      </xdr:nvSpPr>
      <xdr:spPr>
        <a:xfrm>
          <a:off x="63026925" y="1657350"/>
          <a:ext cx="13144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28</xdr:row>
      <xdr:rowOff>0</xdr:rowOff>
    </xdr:from>
    <xdr:to>
      <xdr:col>109</xdr:col>
      <xdr:colOff>0</xdr:colOff>
      <xdr:row>32</xdr:row>
      <xdr:rowOff>0</xdr:rowOff>
    </xdr:to>
    <xdr:sp>
      <xdr:nvSpPr>
        <xdr:cNvPr id="86" name="Rectangle 89"/>
        <xdr:cNvSpPr>
          <a:spLocks/>
        </xdr:cNvSpPr>
      </xdr:nvSpPr>
      <xdr:spPr>
        <a:xfrm>
          <a:off x="57616725" y="4552950"/>
          <a:ext cx="35909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33</xdr:row>
      <xdr:rowOff>0</xdr:rowOff>
    </xdr:from>
    <xdr:to>
      <xdr:col>109</xdr:col>
      <xdr:colOff>0</xdr:colOff>
      <xdr:row>39</xdr:row>
      <xdr:rowOff>0</xdr:rowOff>
    </xdr:to>
    <xdr:sp>
      <xdr:nvSpPr>
        <xdr:cNvPr id="87" name="Rectangle 90"/>
        <xdr:cNvSpPr>
          <a:spLocks/>
        </xdr:cNvSpPr>
      </xdr:nvSpPr>
      <xdr:spPr>
        <a:xfrm>
          <a:off x="57616725" y="5410200"/>
          <a:ext cx="35909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33</xdr:row>
      <xdr:rowOff>0</xdr:rowOff>
    </xdr:from>
    <xdr:to>
      <xdr:col>113</xdr:col>
      <xdr:colOff>0</xdr:colOff>
      <xdr:row>39</xdr:row>
      <xdr:rowOff>0</xdr:rowOff>
    </xdr:to>
    <xdr:sp>
      <xdr:nvSpPr>
        <xdr:cNvPr id="88" name="Rectangle 91"/>
        <xdr:cNvSpPr>
          <a:spLocks/>
        </xdr:cNvSpPr>
      </xdr:nvSpPr>
      <xdr:spPr>
        <a:xfrm>
          <a:off x="61207650" y="5410200"/>
          <a:ext cx="1819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28</xdr:row>
      <xdr:rowOff>0</xdr:rowOff>
    </xdr:from>
    <xdr:to>
      <xdr:col>113</xdr:col>
      <xdr:colOff>0</xdr:colOff>
      <xdr:row>32</xdr:row>
      <xdr:rowOff>0</xdr:rowOff>
    </xdr:to>
    <xdr:sp>
      <xdr:nvSpPr>
        <xdr:cNvPr id="89" name="Rectangle 92"/>
        <xdr:cNvSpPr>
          <a:spLocks/>
        </xdr:cNvSpPr>
      </xdr:nvSpPr>
      <xdr:spPr>
        <a:xfrm>
          <a:off x="61207650" y="4552950"/>
          <a:ext cx="18192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0</xdr:rowOff>
    </xdr:from>
    <xdr:to>
      <xdr:col>116</xdr:col>
      <xdr:colOff>0</xdr:colOff>
      <xdr:row>32</xdr:row>
      <xdr:rowOff>0</xdr:rowOff>
    </xdr:to>
    <xdr:sp>
      <xdr:nvSpPr>
        <xdr:cNvPr id="90" name="Rectangle 93"/>
        <xdr:cNvSpPr>
          <a:spLocks/>
        </xdr:cNvSpPr>
      </xdr:nvSpPr>
      <xdr:spPr>
        <a:xfrm>
          <a:off x="63026925" y="4552950"/>
          <a:ext cx="13144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41</xdr:row>
      <xdr:rowOff>0</xdr:rowOff>
    </xdr:from>
    <xdr:to>
      <xdr:col>109</xdr:col>
      <xdr:colOff>0</xdr:colOff>
      <xdr:row>46</xdr:row>
      <xdr:rowOff>0</xdr:rowOff>
    </xdr:to>
    <xdr:sp>
      <xdr:nvSpPr>
        <xdr:cNvPr id="91" name="Rectangle 94"/>
        <xdr:cNvSpPr>
          <a:spLocks/>
        </xdr:cNvSpPr>
      </xdr:nvSpPr>
      <xdr:spPr>
        <a:xfrm>
          <a:off x="57616725" y="6781800"/>
          <a:ext cx="35909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41</xdr:row>
      <xdr:rowOff>0</xdr:rowOff>
    </xdr:from>
    <xdr:to>
      <xdr:col>113</xdr:col>
      <xdr:colOff>0</xdr:colOff>
      <xdr:row>46</xdr:row>
      <xdr:rowOff>0</xdr:rowOff>
    </xdr:to>
    <xdr:sp>
      <xdr:nvSpPr>
        <xdr:cNvPr id="92" name="Rectangle 95"/>
        <xdr:cNvSpPr>
          <a:spLocks/>
        </xdr:cNvSpPr>
      </xdr:nvSpPr>
      <xdr:spPr>
        <a:xfrm>
          <a:off x="61207650" y="6781800"/>
          <a:ext cx="18192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33</xdr:row>
      <xdr:rowOff>0</xdr:rowOff>
    </xdr:from>
    <xdr:to>
      <xdr:col>116</xdr:col>
      <xdr:colOff>0</xdr:colOff>
      <xdr:row>39</xdr:row>
      <xdr:rowOff>0</xdr:rowOff>
    </xdr:to>
    <xdr:sp>
      <xdr:nvSpPr>
        <xdr:cNvPr id="93" name="Rectangle 96"/>
        <xdr:cNvSpPr>
          <a:spLocks/>
        </xdr:cNvSpPr>
      </xdr:nvSpPr>
      <xdr:spPr>
        <a:xfrm>
          <a:off x="63026925" y="5410200"/>
          <a:ext cx="13144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41</xdr:row>
      <xdr:rowOff>0</xdr:rowOff>
    </xdr:from>
    <xdr:to>
      <xdr:col>116</xdr:col>
      <xdr:colOff>0</xdr:colOff>
      <xdr:row>46</xdr:row>
      <xdr:rowOff>0</xdr:rowOff>
    </xdr:to>
    <xdr:sp>
      <xdr:nvSpPr>
        <xdr:cNvPr id="94" name="Rectangle 97"/>
        <xdr:cNvSpPr>
          <a:spLocks/>
        </xdr:cNvSpPr>
      </xdr:nvSpPr>
      <xdr:spPr>
        <a:xfrm>
          <a:off x="63026925" y="6781800"/>
          <a:ext cx="13144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28</xdr:row>
      <xdr:rowOff>0</xdr:rowOff>
    </xdr:from>
    <xdr:to>
      <xdr:col>120</xdr:col>
      <xdr:colOff>0</xdr:colOff>
      <xdr:row>32</xdr:row>
      <xdr:rowOff>0</xdr:rowOff>
    </xdr:to>
    <xdr:sp>
      <xdr:nvSpPr>
        <xdr:cNvPr id="95" name="Rectangle 98"/>
        <xdr:cNvSpPr>
          <a:spLocks/>
        </xdr:cNvSpPr>
      </xdr:nvSpPr>
      <xdr:spPr>
        <a:xfrm>
          <a:off x="64341375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10</xdr:row>
      <xdr:rowOff>0</xdr:rowOff>
    </xdr:from>
    <xdr:to>
      <xdr:col>120</xdr:col>
      <xdr:colOff>0</xdr:colOff>
      <xdr:row>26</xdr:row>
      <xdr:rowOff>0</xdr:rowOff>
    </xdr:to>
    <xdr:sp>
      <xdr:nvSpPr>
        <xdr:cNvPr id="96" name="Rectangle 99"/>
        <xdr:cNvSpPr>
          <a:spLocks/>
        </xdr:cNvSpPr>
      </xdr:nvSpPr>
      <xdr:spPr>
        <a:xfrm>
          <a:off x="64341375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33</xdr:row>
      <xdr:rowOff>0</xdr:rowOff>
    </xdr:from>
    <xdr:to>
      <xdr:col>120</xdr:col>
      <xdr:colOff>0</xdr:colOff>
      <xdr:row>39</xdr:row>
      <xdr:rowOff>0</xdr:rowOff>
    </xdr:to>
    <xdr:sp>
      <xdr:nvSpPr>
        <xdr:cNvPr id="97" name="Rectangle 100"/>
        <xdr:cNvSpPr>
          <a:spLocks/>
        </xdr:cNvSpPr>
      </xdr:nvSpPr>
      <xdr:spPr>
        <a:xfrm>
          <a:off x="64341375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41</xdr:row>
      <xdr:rowOff>0</xdr:rowOff>
    </xdr:from>
    <xdr:to>
      <xdr:col>120</xdr:col>
      <xdr:colOff>0</xdr:colOff>
      <xdr:row>46</xdr:row>
      <xdr:rowOff>0</xdr:rowOff>
    </xdr:to>
    <xdr:sp>
      <xdr:nvSpPr>
        <xdr:cNvPr id="98" name="Rectangle 101"/>
        <xdr:cNvSpPr>
          <a:spLocks/>
        </xdr:cNvSpPr>
      </xdr:nvSpPr>
      <xdr:spPr>
        <a:xfrm>
          <a:off x="64341375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866775</xdr:colOff>
      <xdr:row>33</xdr:row>
      <xdr:rowOff>0</xdr:rowOff>
    </xdr:from>
    <xdr:to>
      <xdr:col>108</xdr:col>
      <xdr:colOff>409575</xdr:colOff>
      <xdr:row>39</xdr:row>
      <xdr:rowOff>0</xdr:rowOff>
    </xdr:to>
    <xdr:sp>
      <xdr:nvSpPr>
        <xdr:cNvPr id="99" name="Rectangle 102"/>
        <xdr:cNvSpPr>
          <a:spLocks/>
        </xdr:cNvSpPr>
      </xdr:nvSpPr>
      <xdr:spPr>
        <a:xfrm>
          <a:off x="57616725" y="5410200"/>
          <a:ext cx="35909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11</xdr:row>
      <xdr:rowOff>0</xdr:rowOff>
    </xdr:from>
    <xdr:to>
      <xdr:col>129</xdr:col>
      <xdr:colOff>0</xdr:colOff>
      <xdr:row>26</xdr:row>
      <xdr:rowOff>0</xdr:rowOff>
    </xdr:to>
    <xdr:sp>
      <xdr:nvSpPr>
        <xdr:cNvPr id="100" name="Rectangle 103"/>
        <xdr:cNvSpPr>
          <a:spLocks/>
        </xdr:cNvSpPr>
      </xdr:nvSpPr>
      <xdr:spPr>
        <a:xfrm>
          <a:off x="68513325" y="1657350"/>
          <a:ext cx="33337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11</xdr:row>
      <xdr:rowOff>0</xdr:rowOff>
    </xdr:from>
    <xdr:to>
      <xdr:col>133</xdr:col>
      <xdr:colOff>0</xdr:colOff>
      <xdr:row>26</xdr:row>
      <xdr:rowOff>0</xdr:rowOff>
    </xdr:to>
    <xdr:sp>
      <xdr:nvSpPr>
        <xdr:cNvPr id="101" name="Rectangle 104"/>
        <xdr:cNvSpPr>
          <a:spLocks/>
        </xdr:cNvSpPr>
      </xdr:nvSpPr>
      <xdr:spPr>
        <a:xfrm>
          <a:off x="71847075" y="1657350"/>
          <a:ext cx="19431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0</xdr:colOff>
      <xdr:row>11</xdr:row>
      <xdr:rowOff>0</xdr:rowOff>
    </xdr:from>
    <xdr:to>
      <xdr:col>136</xdr:col>
      <xdr:colOff>0</xdr:colOff>
      <xdr:row>26</xdr:row>
      <xdr:rowOff>0</xdr:rowOff>
    </xdr:to>
    <xdr:sp>
      <xdr:nvSpPr>
        <xdr:cNvPr id="102" name="Rectangle 105"/>
        <xdr:cNvSpPr>
          <a:spLocks/>
        </xdr:cNvSpPr>
      </xdr:nvSpPr>
      <xdr:spPr>
        <a:xfrm>
          <a:off x="73790175" y="1657350"/>
          <a:ext cx="143827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28</xdr:row>
      <xdr:rowOff>0</xdr:rowOff>
    </xdr:from>
    <xdr:to>
      <xdr:col>129</xdr:col>
      <xdr:colOff>0</xdr:colOff>
      <xdr:row>32</xdr:row>
      <xdr:rowOff>0</xdr:rowOff>
    </xdr:to>
    <xdr:sp>
      <xdr:nvSpPr>
        <xdr:cNvPr id="103" name="Rectangle 106"/>
        <xdr:cNvSpPr>
          <a:spLocks/>
        </xdr:cNvSpPr>
      </xdr:nvSpPr>
      <xdr:spPr>
        <a:xfrm>
          <a:off x="68513325" y="4552950"/>
          <a:ext cx="33337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33</xdr:row>
      <xdr:rowOff>0</xdr:rowOff>
    </xdr:from>
    <xdr:to>
      <xdr:col>129</xdr:col>
      <xdr:colOff>0</xdr:colOff>
      <xdr:row>39</xdr:row>
      <xdr:rowOff>0</xdr:rowOff>
    </xdr:to>
    <xdr:sp>
      <xdr:nvSpPr>
        <xdr:cNvPr id="104" name="Rectangle 107"/>
        <xdr:cNvSpPr>
          <a:spLocks/>
        </xdr:cNvSpPr>
      </xdr:nvSpPr>
      <xdr:spPr>
        <a:xfrm>
          <a:off x="68513325" y="5410200"/>
          <a:ext cx="33337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33</xdr:row>
      <xdr:rowOff>0</xdr:rowOff>
    </xdr:from>
    <xdr:to>
      <xdr:col>133</xdr:col>
      <xdr:colOff>0</xdr:colOff>
      <xdr:row>39</xdr:row>
      <xdr:rowOff>0</xdr:rowOff>
    </xdr:to>
    <xdr:sp>
      <xdr:nvSpPr>
        <xdr:cNvPr id="105" name="Rectangle 108"/>
        <xdr:cNvSpPr>
          <a:spLocks/>
        </xdr:cNvSpPr>
      </xdr:nvSpPr>
      <xdr:spPr>
        <a:xfrm>
          <a:off x="71847075" y="5410200"/>
          <a:ext cx="19431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0</xdr:rowOff>
    </xdr:from>
    <xdr:to>
      <xdr:col>133</xdr:col>
      <xdr:colOff>0</xdr:colOff>
      <xdr:row>32</xdr:row>
      <xdr:rowOff>0</xdr:rowOff>
    </xdr:to>
    <xdr:sp>
      <xdr:nvSpPr>
        <xdr:cNvPr id="106" name="Rectangle 109"/>
        <xdr:cNvSpPr>
          <a:spLocks/>
        </xdr:cNvSpPr>
      </xdr:nvSpPr>
      <xdr:spPr>
        <a:xfrm>
          <a:off x="71847075" y="4552950"/>
          <a:ext cx="1943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0</xdr:colOff>
      <xdr:row>28</xdr:row>
      <xdr:rowOff>0</xdr:rowOff>
    </xdr:from>
    <xdr:to>
      <xdr:col>136</xdr:col>
      <xdr:colOff>0</xdr:colOff>
      <xdr:row>32</xdr:row>
      <xdr:rowOff>0</xdr:rowOff>
    </xdr:to>
    <xdr:sp>
      <xdr:nvSpPr>
        <xdr:cNvPr id="107" name="Rectangle 110"/>
        <xdr:cNvSpPr>
          <a:spLocks/>
        </xdr:cNvSpPr>
      </xdr:nvSpPr>
      <xdr:spPr>
        <a:xfrm>
          <a:off x="73790175" y="4552950"/>
          <a:ext cx="14382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41</xdr:row>
      <xdr:rowOff>0</xdr:rowOff>
    </xdr:from>
    <xdr:to>
      <xdr:col>129</xdr:col>
      <xdr:colOff>0</xdr:colOff>
      <xdr:row>46</xdr:row>
      <xdr:rowOff>0</xdr:rowOff>
    </xdr:to>
    <xdr:sp>
      <xdr:nvSpPr>
        <xdr:cNvPr id="108" name="Rectangle 111"/>
        <xdr:cNvSpPr>
          <a:spLocks/>
        </xdr:cNvSpPr>
      </xdr:nvSpPr>
      <xdr:spPr>
        <a:xfrm>
          <a:off x="68513325" y="6781800"/>
          <a:ext cx="33337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0</xdr:colOff>
      <xdr:row>41</xdr:row>
      <xdr:rowOff>0</xdr:rowOff>
    </xdr:from>
    <xdr:to>
      <xdr:col>133</xdr:col>
      <xdr:colOff>0</xdr:colOff>
      <xdr:row>46</xdr:row>
      <xdr:rowOff>0</xdr:rowOff>
    </xdr:to>
    <xdr:sp>
      <xdr:nvSpPr>
        <xdr:cNvPr id="109" name="Rectangle 112"/>
        <xdr:cNvSpPr>
          <a:spLocks/>
        </xdr:cNvSpPr>
      </xdr:nvSpPr>
      <xdr:spPr>
        <a:xfrm>
          <a:off x="71847075" y="6781800"/>
          <a:ext cx="19431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0</xdr:colOff>
      <xdr:row>33</xdr:row>
      <xdr:rowOff>0</xdr:rowOff>
    </xdr:from>
    <xdr:to>
      <xdr:col>136</xdr:col>
      <xdr:colOff>0</xdr:colOff>
      <xdr:row>39</xdr:row>
      <xdr:rowOff>0</xdr:rowOff>
    </xdr:to>
    <xdr:sp>
      <xdr:nvSpPr>
        <xdr:cNvPr id="110" name="Rectangle 113"/>
        <xdr:cNvSpPr>
          <a:spLocks/>
        </xdr:cNvSpPr>
      </xdr:nvSpPr>
      <xdr:spPr>
        <a:xfrm>
          <a:off x="73790175" y="5410200"/>
          <a:ext cx="14382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0</xdr:colOff>
      <xdr:row>41</xdr:row>
      <xdr:rowOff>0</xdr:rowOff>
    </xdr:from>
    <xdr:to>
      <xdr:col>136</xdr:col>
      <xdr:colOff>0</xdr:colOff>
      <xdr:row>46</xdr:row>
      <xdr:rowOff>0</xdr:rowOff>
    </xdr:to>
    <xdr:sp>
      <xdr:nvSpPr>
        <xdr:cNvPr id="111" name="Rectangle 114"/>
        <xdr:cNvSpPr>
          <a:spLocks/>
        </xdr:cNvSpPr>
      </xdr:nvSpPr>
      <xdr:spPr>
        <a:xfrm>
          <a:off x="73790175" y="6781800"/>
          <a:ext cx="14382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28</xdr:row>
      <xdr:rowOff>0</xdr:rowOff>
    </xdr:from>
    <xdr:to>
      <xdr:col>140</xdr:col>
      <xdr:colOff>0</xdr:colOff>
      <xdr:row>32</xdr:row>
      <xdr:rowOff>0</xdr:rowOff>
    </xdr:to>
    <xdr:sp>
      <xdr:nvSpPr>
        <xdr:cNvPr id="112" name="Rectangle 115"/>
        <xdr:cNvSpPr>
          <a:spLocks/>
        </xdr:cNvSpPr>
      </xdr:nvSpPr>
      <xdr:spPr>
        <a:xfrm>
          <a:off x="75228450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10</xdr:row>
      <xdr:rowOff>0</xdr:rowOff>
    </xdr:from>
    <xdr:to>
      <xdr:col>140</xdr:col>
      <xdr:colOff>0</xdr:colOff>
      <xdr:row>26</xdr:row>
      <xdr:rowOff>0</xdr:rowOff>
    </xdr:to>
    <xdr:sp>
      <xdr:nvSpPr>
        <xdr:cNvPr id="113" name="Rectangle 116"/>
        <xdr:cNvSpPr>
          <a:spLocks/>
        </xdr:cNvSpPr>
      </xdr:nvSpPr>
      <xdr:spPr>
        <a:xfrm>
          <a:off x="75228450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33</xdr:row>
      <xdr:rowOff>0</xdr:rowOff>
    </xdr:from>
    <xdr:to>
      <xdr:col>140</xdr:col>
      <xdr:colOff>0</xdr:colOff>
      <xdr:row>39</xdr:row>
      <xdr:rowOff>0</xdr:rowOff>
    </xdr:to>
    <xdr:sp>
      <xdr:nvSpPr>
        <xdr:cNvPr id="114" name="Rectangle 117"/>
        <xdr:cNvSpPr>
          <a:spLocks/>
        </xdr:cNvSpPr>
      </xdr:nvSpPr>
      <xdr:spPr>
        <a:xfrm>
          <a:off x="75228450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41</xdr:row>
      <xdr:rowOff>0</xdr:rowOff>
    </xdr:from>
    <xdr:to>
      <xdr:col>140</xdr:col>
      <xdr:colOff>0</xdr:colOff>
      <xdr:row>46</xdr:row>
      <xdr:rowOff>0</xdr:rowOff>
    </xdr:to>
    <xdr:sp>
      <xdr:nvSpPr>
        <xdr:cNvPr id="115" name="Rectangle 118"/>
        <xdr:cNvSpPr>
          <a:spLocks/>
        </xdr:cNvSpPr>
      </xdr:nvSpPr>
      <xdr:spPr>
        <a:xfrm>
          <a:off x="75228450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866775</xdr:colOff>
      <xdr:row>33</xdr:row>
      <xdr:rowOff>0</xdr:rowOff>
    </xdr:from>
    <xdr:to>
      <xdr:col>128</xdr:col>
      <xdr:colOff>342900</xdr:colOff>
      <xdr:row>39</xdr:row>
      <xdr:rowOff>0</xdr:rowOff>
    </xdr:to>
    <xdr:sp>
      <xdr:nvSpPr>
        <xdr:cNvPr id="116" name="Rectangle 119"/>
        <xdr:cNvSpPr>
          <a:spLocks/>
        </xdr:cNvSpPr>
      </xdr:nvSpPr>
      <xdr:spPr>
        <a:xfrm>
          <a:off x="68513325" y="5410200"/>
          <a:ext cx="33337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11</xdr:row>
      <xdr:rowOff>0</xdr:rowOff>
    </xdr:from>
    <xdr:to>
      <xdr:col>149</xdr:col>
      <xdr:colOff>0</xdr:colOff>
      <xdr:row>26</xdr:row>
      <xdr:rowOff>0</xdr:rowOff>
    </xdr:to>
    <xdr:sp>
      <xdr:nvSpPr>
        <xdr:cNvPr id="117" name="Rectangle 120"/>
        <xdr:cNvSpPr>
          <a:spLocks/>
        </xdr:cNvSpPr>
      </xdr:nvSpPr>
      <xdr:spPr>
        <a:xfrm>
          <a:off x="79486125" y="1657350"/>
          <a:ext cx="32385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11</xdr:row>
      <xdr:rowOff>0</xdr:rowOff>
    </xdr:from>
    <xdr:to>
      <xdr:col>153</xdr:col>
      <xdr:colOff>0</xdr:colOff>
      <xdr:row>26</xdr:row>
      <xdr:rowOff>0</xdr:rowOff>
    </xdr:to>
    <xdr:sp>
      <xdr:nvSpPr>
        <xdr:cNvPr id="118" name="Rectangle 121"/>
        <xdr:cNvSpPr>
          <a:spLocks/>
        </xdr:cNvSpPr>
      </xdr:nvSpPr>
      <xdr:spPr>
        <a:xfrm>
          <a:off x="82724625" y="1657350"/>
          <a:ext cx="19431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0</xdr:colOff>
      <xdr:row>11</xdr:row>
      <xdr:rowOff>0</xdr:rowOff>
    </xdr:from>
    <xdr:to>
      <xdr:col>156</xdr:col>
      <xdr:colOff>0</xdr:colOff>
      <xdr:row>26</xdr:row>
      <xdr:rowOff>0</xdr:rowOff>
    </xdr:to>
    <xdr:sp>
      <xdr:nvSpPr>
        <xdr:cNvPr id="119" name="Rectangle 122"/>
        <xdr:cNvSpPr>
          <a:spLocks/>
        </xdr:cNvSpPr>
      </xdr:nvSpPr>
      <xdr:spPr>
        <a:xfrm>
          <a:off x="84667725" y="1657350"/>
          <a:ext cx="13144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149</xdr:col>
      <xdr:colOff>0</xdr:colOff>
      <xdr:row>32</xdr:row>
      <xdr:rowOff>0</xdr:rowOff>
    </xdr:to>
    <xdr:sp>
      <xdr:nvSpPr>
        <xdr:cNvPr id="120" name="Rectangle 123"/>
        <xdr:cNvSpPr>
          <a:spLocks/>
        </xdr:cNvSpPr>
      </xdr:nvSpPr>
      <xdr:spPr>
        <a:xfrm>
          <a:off x="79486125" y="4552950"/>
          <a:ext cx="32385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33</xdr:row>
      <xdr:rowOff>0</xdr:rowOff>
    </xdr:from>
    <xdr:to>
      <xdr:col>149</xdr:col>
      <xdr:colOff>0</xdr:colOff>
      <xdr:row>39</xdr:row>
      <xdr:rowOff>0</xdr:rowOff>
    </xdr:to>
    <xdr:sp>
      <xdr:nvSpPr>
        <xdr:cNvPr id="121" name="Rectangle 124"/>
        <xdr:cNvSpPr>
          <a:spLocks/>
        </xdr:cNvSpPr>
      </xdr:nvSpPr>
      <xdr:spPr>
        <a:xfrm>
          <a:off x="79486125" y="5410200"/>
          <a:ext cx="32385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153</xdr:col>
      <xdr:colOff>0</xdr:colOff>
      <xdr:row>39</xdr:row>
      <xdr:rowOff>0</xdr:rowOff>
    </xdr:to>
    <xdr:sp>
      <xdr:nvSpPr>
        <xdr:cNvPr id="122" name="Rectangle 125"/>
        <xdr:cNvSpPr>
          <a:spLocks/>
        </xdr:cNvSpPr>
      </xdr:nvSpPr>
      <xdr:spPr>
        <a:xfrm>
          <a:off x="82724625" y="5410200"/>
          <a:ext cx="19431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28</xdr:row>
      <xdr:rowOff>0</xdr:rowOff>
    </xdr:from>
    <xdr:to>
      <xdr:col>153</xdr:col>
      <xdr:colOff>0</xdr:colOff>
      <xdr:row>32</xdr:row>
      <xdr:rowOff>0</xdr:rowOff>
    </xdr:to>
    <xdr:sp>
      <xdr:nvSpPr>
        <xdr:cNvPr id="123" name="Rectangle 126"/>
        <xdr:cNvSpPr>
          <a:spLocks/>
        </xdr:cNvSpPr>
      </xdr:nvSpPr>
      <xdr:spPr>
        <a:xfrm>
          <a:off x="82724625" y="4552950"/>
          <a:ext cx="1943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0</xdr:colOff>
      <xdr:row>28</xdr:row>
      <xdr:rowOff>0</xdr:rowOff>
    </xdr:from>
    <xdr:to>
      <xdr:col>156</xdr:col>
      <xdr:colOff>0</xdr:colOff>
      <xdr:row>32</xdr:row>
      <xdr:rowOff>0</xdr:rowOff>
    </xdr:to>
    <xdr:sp>
      <xdr:nvSpPr>
        <xdr:cNvPr id="124" name="Rectangle 127"/>
        <xdr:cNvSpPr>
          <a:spLocks/>
        </xdr:cNvSpPr>
      </xdr:nvSpPr>
      <xdr:spPr>
        <a:xfrm>
          <a:off x="84667725" y="4552950"/>
          <a:ext cx="13144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41</xdr:row>
      <xdr:rowOff>0</xdr:rowOff>
    </xdr:from>
    <xdr:to>
      <xdr:col>149</xdr:col>
      <xdr:colOff>0</xdr:colOff>
      <xdr:row>46</xdr:row>
      <xdr:rowOff>0</xdr:rowOff>
    </xdr:to>
    <xdr:sp>
      <xdr:nvSpPr>
        <xdr:cNvPr id="125" name="Rectangle 128"/>
        <xdr:cNvSpPr>
          <a:spLocks/>
        </xdr:cNvSpPr>
      </xdr:nvSpPr>
      <xdr:spPr>
        <a:xfrm>
          <a:off x="79486125" y="6781800"/>
          <a:ext cx="32385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41</xdr:row>
      <xdr:rowOff>0</xdr:rowOff>
    </xdr:from>
    <xdr:to>
      <xdr:col>153</xdr:col>
      <xdr:colOff>0</xdr:colOff>
      <xdr:row>46</xdr:row>
      <xdr:rowOff>0</xdr:rowOff>
    </xdr:to>
    <xdr:sp>
      <xdr:nvSpPr>
        <xdr:cNvPr id="126" name="Rectangle 129"/>
        <xdr:cNvSpPr>
          <a:spLocks/>
        </xdr:cNvSpPr>
      </xdr:nvSpPr>
      <xdr:spPr>
        <a:xfrm>
          <a:off x="82724625" y="6781800"/>
          <a:ext cx="19431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0</xdr:colOff>
      <xdr:row>33</xdr:row>
      <xdr:rowOff>0</xdr:rowOff>
    </xdr:from>
    <xdr:to>
      <xdr:col>156</xdr:col>
      <xdr:colOff>0</xdr:colOff>
      <xdr:row>39</xdr:row>
      <xdr:rowOff>0</xdr:rowOff>
    </xdr:to>
    <xdr:sp>
      <xdr:nvSpPr>
        <xdr:cNvPr id="127" name="Rectangle 130"/>
        <xdr:cNvSpPr>
          <a:spLocks/>
        </xdr:cNvSpPr>
      </xdr:nvSpPr>
      <xdr:spPr>
        <a:xfrm>
          <a:off x="84667725" y="5410200"/>
          <a:ext cx="13144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0</xdr:colOff>
      <xdr:row>41</xdr:row>
      <xdr:rowOff>0</xdr:rowOff>
    </xdr:from>
    <xdr:to>
      <xdr:col>156</xdr:col>
      <xdr:colOff>0</xdr:colOff>
      <xdr:row>46</xdr:row>
      <xdr:rowOff>0</xdr:rowOff>
    </xdr:to>
    <xdr:sp>
      <xdr:nvSpPr>
        <xdr:cNvPr id="128" name="Rectangle 131"/>
        <xdr:cNvSpPr>
          <a:spLocks/>
        </xdr:cNvSpPr>
      </xdr:nvSpPr>
      <xdr:spPr>
        <a:xfrm>
          <a:off x="84667725" y="6781800"/>
          <a:ext cx="13144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0</xdr:colOff>
      <xdr:row>28</xdr:row>
      <xdr:rowOff>0</xdr:rowOff>
    </xdr:from>
    <xdr:to>
      <xdr:col>160</xdr:col>
      <xdr:colOff>0</xdr:colOff>
      <xdr:row>32</xdr:row>
      <xdr:rowOff>0</xdr:rowOff>
    </xdr:to>
    <xdr:sp>
      <xdr:nvSpPr>
        <xdr:cNvPr id="129" name="Rectangle 132"/>
        <xdr:cNvSpPr>
          <a:spLocks/>
        </xdr:cNvSpPr>
      </xdr:nvSpPr>
      <xdr:spPr>
        <a:xfrm>
          <a:off x="85982175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0</xdr:colOff>
      <xdr:row>10</xdr:row>
      <xdr:rowOff>0</xdr:rowOff>
    </xdr:from>
    <xdr:to>
      <xdr:col>160</xdr:col>
      <xdr:colOff>0</xdr:colOff>
      <xdr:row>26</xdr:row>
      <xdr:rowOff>0</xdr:rowOff>
    </xdr:to>
    <xdr:sp>
      <xdr:nvSpPr>
        <xdr:cNvPr id="130" name="Rectangle 133"/>
        <xdr:cNvSpPr>
          <a:spLocks/>
        </xdr:cNvSpPr>
      </xdr:nvSpPr>
      <xdr:spPr>
        <a:xfrm>
          <a:off x="85982175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0</xdr:colOff>
      <xdr:row>33</xdr:row>
      <xdr:rowOff>0</xdr:rowOff>
    </xdr:from>
    <xdr:to>
      <xdr:col>160</xdr:col>
      <xdr:colOff>0</xdr:colOff>
      <xdr:row>39</xdr:row>
      <xdr:rowOff>0</xdr:rowOff>
    </xdr:to>
    <xdr:sp>
      <xdr:nvSpPr>
        <xdr:cNvPr id="131" name="Rectangle 134"/>
        <xdr:cNvSpPr>
          <a:spLocks/>
        </xdr:cNvSpPr>
      </xdr:nvSpPr>
      <xdr:spPr>
        <a:xfrm>
          <a:off x="85982175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0</xdr:colOff>
      <xdr:row>41</xdr:row>
      <xdr:rowOff>0</xdr:rowOff>
    </xdr:from>
    <xdr:to>
      <xdr:col>160</xdr:col>
      <xdr:colOff>0</xdr:colOff>
      <xdr:row>46</xdr:row>
      <xdr:rowOff>0</xdr:rowOff>
    </xdr:to>
    <xdr:sp>
      <xdr:nvSpPr>
        <xdr:cNvPr id="132" name="Rectangle 135"/>
        <xdr:cNvSpPr>
          <a:spLocks/>
        </xdr:cNvSpPr>
      </xdr:nvSpPr>
      <xdr:spPr>
        <a:xfrm>
          <a:off x="85982175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866775</xdr:colOff>
      <xdr:row>33</xdr:row>
      <xdr:rowOff>0</xdr:rowOff>
    </xdr:from>
    <xdr:to>
      <xdr:col>148</xdr:col>
      <xdr:colOff>342900</xdr:colOff>
      <xdr:row>39</xdr:row>
      <xdr:rowOff>0</xdr:rowOff>
    </xdr:to>
    <xdr:sp>
      <xdr:nvSpPr>
        <xdr:cNvPr id="133" name="Rectangle 136"/>
        <xdr:cNvSpPr>
          <a:spLocks/>
        </xdr:cNvSpPr>
      </xdr:nvSpPr>
      <xdr:spPr>
        <a:xfrm>
          <a:off x="79486125" y="5410200"/>
          <a:ext cx="32385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11</xdr:row>
      <xdr:rowOff>0</xdr:rowOff>
    </xdr:from>
    <xdr:to>
      <xdr:col>169</xdr:col>
      <xdr:colOff>0</xdr:colOff>
      <xdr:row>26</xdr:row>
      <xdr:rowOff>0</xdr:rowOff>
    </xdr:to>
    <xdr:sp>
      <xdr:nvSpPr>
        <xdr:cNvPr id="134" name="Rectangle 137"/>
        <xdr:cNvSpPr>
          <a:spLocks/>
        </xdr:cNvSpPr>
      </xdr:nvSpPr>
      <xdr:spPr>
        <a:xfrm>
          <a:off x="90230325" y="1657350"/>
          <a:ext cx="33147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0</xdr:colOff>
      <xdr:row>11</xdr:row>
      <xdr:rowOff>0</xdr:rowOff>
    </xdr:from>
    <xdr:to>
      <xdr:col>173</xdr:col>
      <xdr:colOff>0</xdr:colOff>
      <xdr:row>26</xdr:row>
      <xdr:rowOff>0</xdr:rowOff>
    </xdr:to>
    <xdr:sp>
      <xdr:nvSpPr>
        <xdr:cNvPr id="135" name="Rectangle 138"/>
        <xdr:cNvSpPr>
          <a:spLocks/>
        </xdr:cNvSpPr>
      </xdr:nvSpPr>
      <xdr:spPr>
        <a:xfrm>
          <a:off x="93545025" y="1657350"/>
          <a:ext cx="18859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0</xdr:colOff>
      <xdr:row>11</xdr:row>
      <xdr:rowOff>0</xdr:rowOff>
    </xdr:from>
    <xdr:to>
      <xdr:col>176</xdr:col>
      <xdr:colOff>0</xdr:colOff>
      <xdr:row>26</xdr:row>
      <xdr:rowOff>0</xdr:rowOff>
    </xdr:to>
    <xdr:sp>
      <xdr:nvSpPr>
        <xdr:cNvPr id="136" name="Rectangle 139"/>
        <xdr:cNvSpPr>
          <a:spLocks/>
        </xdr:cNvSpPr>
      </xdr:nvSpPr>
      <xdr:spPr>
        <a:xfrm>
          <a:off x="95430975" y="1657350"/>
          <a:ext cx="13811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28</xdr:row>
      <xdr:rowOff>0</xdr:rowOff>
    </xdr:from>
    <xdr:to>
      <xdr:col>169</xdr:col>
      <xdr:colOff>0</xdr:colOff>
      <xdr:row>32</xdr:row>
      <xdr:rowOff>0</xdr:rowOff>
    </xdr:to>
    <xdr:sp>
      <xdr:nvSpPr>
        <xdr:cNvPr id="137" name="Rectangle 140"/>
        <xdr:cNvSpPr>
          <a:spLocks/>
        </xdr:cNvSpPr>
      </xdr:nvSpPr>
      <xdr:spPr>
        <a:xfrm>
          <a:off x="90230325" y="4552950"/>
          <a:ext cx="33147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33</xdr:row>
      <xdr:rowOff>0</xdr:rowOff>
    </xdr:from>
    <xdr:to>
      <xdr:col>169</xdr:col>
      <xdr:colOff>0</xdr:colOff>
      <xdr:row>39</xdr:row>
      <xdr:rowOff>0</xdr:rowOff>
    </xdr:to>
    <xdr:sp>
      <xdr:nvSpPr>
        <xdr:cNvPr id="138" name="Rectangle 141"/>
        <xdr:cNvSpPr>
          <a:spLocks/>
        </xdr:cNvSpPr>
      </xdr:nvSpPr>
      <xdr:spPr>
        <a:xfrm>
          <a:off x="90230325" y="5410200"/>
          <a:ext cx="33147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0</xdr:colOff>
      <xdr:row>33</xdr:row>
      <xdr:rowOff>0</xdr:rowOff>
    </xdr:from>
    <xdr:to>
      <xdr:col>173</xdr:col>
      <xdr:colOff>0</xdr:colOff>
      <xdr:row>39</xdr:row>
      <xdr:rowOff>0</xdr:rowOff>
    </xdr:to>
    <xdr:sp>
      <xdr:nvSpPr>
        <xdr:cNvPr id="139" name="Rectangle 142"/>
        <xdr:cNvSpPr>
          <a:spLocks/>
        </xdr:cNvSpPr>
      </xdr:nvSpPr>
      <xdr:spPr>
        <a:xfrm>
          <a:off x="93545025" y="5410200"/>
          <a:ext cx="18859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0</xdr:colOff>
      <xdr:row>28</xdr:row>
      <xdr:rowOff>0</xdr:rowOff>
    </xdr:from>
    <xdr:to>
      <xdr:col>173</xdr:col>
      <xdr:colOff>0</xdr:colOff>
      <xdr:row>32</xdr:row>
      <xdr:rowOff>0</xdr:rowOff>
    </xdr:to>
    <xdr:sp>
      <xdr:nvSpPr>
        <xdr:cNvPr id="140" name="Rectangle 143"/>
        <xdr:cNvSpPr>
          <a:spLocks/>
        </xdr:cNvSpPr>
      </xdr:nvSpPr>
      <xdr:spPr>
        <a:xfrm>
          <a:off x="93545025" y="4552950"/>
          <a:ext cx="18859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0</xdr:colOff>
      <xdr:row>28</xdr:row>
      <xdr:rowOff>0</xdr:rowOff>
    </xdr:from>
    <xdr:to>
      <xdr:col>176</xdr:col>
      <xdr:colOff>0</xdr:colOff>
      <xdr:row>32</xdr:row>
      <xdr:rowOff>0</xdr:rowOff>
    </xdr:to>
    <xdr:sp>
      <xdr:nvSpPr>
        <xdr:cNvPr id="141" name="Rectangle 144"/>
        <xdr:cNvSpPr>
          <a:spLocks/>
        </xdr:cNvSpPr>
      </xdr:nvSpPr>
      <xdr:spPr>
        <a:xfrm>
          <a:off x="95430975" y="4552950"/>
          <a:ext cx="1381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41</xdr:row>
      <xdr:rowOff>0</xdr:rowOff>
    </xdr:from>
    <xdr:to>
      <xdr:col>169</xdr:col>
      <xdr:colOff>0</xdr:colOff>
      <xdr:row>46</xdr:row>
      <xdr:rowOff>0</xdr:rowOff>
    </xdr:to>
    <xdr:sp>
      <xdr:nvSpPr>
        <xdr:cNvPr id="142" name="Rectangle 145"/>
        <xdr:cNvSpPr>
          <a:spLocks/>
        </xdr:cNvSpPr>
      </xdr:nvSpPr>
      <xdr:spPr>
        <a:xfrm>
          <a:off x="90230325" y="6781800"/>
          <a:ext cx="33147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0</xdr:colOff>
      <xdr:row>41</xdr:row>
      <xdr:rowOff>0</xdr:rowOff>
    </xdr:from>
    <xdr:to>
      <xdr:col>173</xdr:col>
      <xdr:colOff>0</xdr:colOff>
      <xdr:row>46</xdr:row>
      <xdr:rowOff>0</xdr:rowOff>
    </xdr:to>
    <xdr:sp>
      <xdr:nvSpPr>
        <xdr:cNvPr id="143" name="Rectangle 146"/>
        <xdr:cNvSpPr>
          <a:spLocks/>
        </xdr:cNvSpPr>
      </xdr:nvSpPr>
      <xdr:spPr>
        <a:xfrm>
          <a:off x="93545025" y="6781800"/>
          <a:ext cx="18859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0</xdr:colOff>
      <xdr:row>33</xdr:row>
      <xdr:rowOff>0</xdr:rowOff>
    </xdr:from>
    <xdr:to>
      <xdr:col>176</xdr:col>
      <xdr:colOff>0</xdr:colOff>
      <xdr:row>39</xdr:row>
      <xdr:rowOff>0</xdr:rowOff>
    </xdr:to>
    <xdr:sp>
      <xdr:nvSpPr>
        <xdr:cNvPr id="144" name="Rectangle 147"/>
        <xdr:cNvSpPr>
          <a:spLocks/>
        </xdr:cNvSpPr>
      </xdr:nvSpPr>
      <xdr:spPr>
        <a:xfrm>
          <a:off x="95430975" y="541020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0</xdr:colOff>
      <xdr:row>41</xdr:row>
      <xdr:rowOff>0</xdr:rowOff>
    </xdr:from>
    <xdr:to>
      <xdr:col>176</xdr:col>
      <xdr:colOff>0</xdr:colOff>
      <xdr:row>46</xdr:row>
      <xdr:rowOff>0</xdr:rowOff>
    </xdr:to>
    <xdr:sp>
      <xdr:nvSpPr>
        <xdr:cNvPr id="145" name="Rectangle 148"/>
        <xdr:cNvSpPr>
          <a:spLocks/>
        </xdr:cNvSpPr>
      </xdr:nvSpPr>
      <xdr:spPr>
        <a:xfrm>
          <a:off x="95430975" y="6781800"/>
          <a:ext cx="1381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28</xdr:row>
      <xdr:rowOff>0</xdr:rowOff>
    </xdr:from>
    <xdr:to>
      <xdr:col>180</xdr:col>
      <xdr:colOff>0</xdr:colOff>
      <xdr:row>32</xdr:row>
      <xdr:rowOff>0</xdr:rowOff>
    </xdr:to>
    <xdr:sp>
      <xdr:nvSpPr>
        <xdr:cNvPr id="146" name="Rectangle 149"/>
        <xdr:cNvSpPr>
          <a:spLocks/>
        </xdr:cNvSpPr>
      </xdr:nvSpPr>
      <xdr:spPr>
        <a:xfrm>
          <a:off x="96812100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10</xdr:row>
      <xdr:rowOff>0</xdr:rowOff>
    </xdr:from>
    <xdr:to>
      <xdr:col>180</xdr:col>
      <xdr:colOff>0</xdr:colOff>
      <xdr:row>26</xdr:row>
      <xdr:rowOff>0</xdr:rowOff>
    </xdr:to>
    <xdr:sp>
      <xdr:nvSpPr>
        <xdr:cNvPr id="147" name="Rectangle 150"/>
        <xdr:cNvSpPr>
          <a:spLocks/>
        </xdr:cNvSpPr>
      </xdr:nvSpPr>
      <xdr:spPr>
        <a:xfrm>
          <a:off x="96812100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33</xdr:row>
      <xdr:rowOff>0</xdr:rowOff>
    </xdr:from>
    <xdr:to>
      <xdr:col>180</xdr:col>
      <xdr:colOff>0</xdr:colOff>
      <xdr:row>39</xdr:row>
      <xdr:rowOff>0</xdr:rowOff>
    </xdr:to>
    <xdr:sp>
      <xdr:nvSpPr>
        <xdr:cNvPr id="148" name="Rectangle 151"/>
        <xdr:cNvSpPr>
          <a:spLocks/>
        </xdr:cNvSpPr>
      </xdr:nvSpPr>
      <xdr:spPr>
        <a:xfrm>
          <a:off x="96812100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41</xdr:row>
      <xdr:rowOff>0</xdr:rowOff>
    </xdr:from>
    <xdr:to>
      <xdr:col>180</xdr:col>
      <xdr:colOff>0</xdr:colOff>
      <xdr:row>46</xdr:row>
      <xdr:rowOff>0</xdr:rowOff>
    </xdr:to>
    <xdr:sp>
      <xdr:nvSpPr>
        <xdr:cNvPr id="149" name="Rectangle 152"/>
        <xdr:cNvSpPr>
          <a:spLocks/>
        </xdr:cNvSpPr>
      </xdr:nvSpPr>
      <xdr:spPr>
        <a:xfrm>
          <a:off x="96812100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866775</xdr:colOff>
      <xdr:row>33</xdr:row>
      <xdr:rowOff>0</xdr:rowOff>
    </xdr:from>
    <xdr:to>
      <xdr:col>168</xdr:col>
      <xdr:colOff>342900</xdr:colOff>
      <xdr:row>39</xdr:row>
      <xdr:rowOff>0</xdr:rowOff>
    </xdr:to>
    <xdr:sp>
      <xdr:nvSpPr>
        <xdr:cNvPr id="150" name="Rectangle 153"/>
        <xdr:cNvSpPr>
          <a:spLocks/>
        </xdr:cNvSpPr>
      </xdr:nvSpPr>
      <xdr:spPr>
        <a:xfrm>
          <a:off x="90230325" y="5410200"/>
          <a:ext cx="33147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0</xdr:colOff>
      <xdr:row>11</xdr:row>
      <xdr:rowOff>0</xdr:rowOff>
    </xdr:from>
    <xdr:to>
      <xdr:col>189</xdr:col>
      <xdr:colOff>0</xdr:colOff>
      <xdr:row>26</xdr:row>
      <xdr:rowOff>0</xdr:rowOff>
    </xdr:to>
    <xdr:sp>
      <xdr:nvSpPr>
        <xdr:cNvPr id="151" name="Rectangle 154"/>
        <xdr:cNvSpPr>
          <a:spLocks/>
        </xdr:cNvSpPr>
      </xdr:nvSpPr>
      <xdr:spPr>
        <a:xfrm>
          <a:off x="101117400" y="1657350"/>
          <a:ext cx="32480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11</xdr:row>
      <xdr:rowOff>0</xdr:rowOff>
    </xdr:from>
    <xdr:to>
      <xdr:col>193</xdr:col>
      <xdr:colOff>0</xdr:colOff>
      <xdr:row>26</xdr:row>
      <xdr:rowOff>0</xdr:rowOff>
    </xdr:to>
    <xdr:sp>
      <xdr:nvSpPr>
        <xdr:cNvPr id="152" name="Rectangle 155"/>
        <xdr:cNvSpPr>
          <a:spLocks/>
        </xdr:cNvSpPr>
      </xdr:nvSpPr>
      <xdr:spPr>
        <a:xfrm>
          <a:off x="104365425" y="1657350"/>
          <a:ext cx="18859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0</xdr:colOff>
      <xdr:row>11</xdr:row>
      <xdr:rowOff>0</xdr:rowOff>
    </xdr:from>
    <xdr:to>
      <xdr:col>196</xdr:col>
      <xdr:colOff>0</xdr:colOff>
      <xdr:row>26</xdr:row>
      <xdr:rowOff>0</xdr:rowOff>
    </xdr:to>
    <xdr:sp>
      <xdr:nvSpPr>
        <xdr:cNvPr id="153" name="Rectangle 156"/>
        <xdr:cNvSpPr>
          <a:spLocks/>
        </xdr:cNvSpPr>
      </xdr:nvSpPr>
      <xdr:spPr>
        <a:xfrm>
          <a:off x="106251375" y="1657350"/>
          <a:ext cx="13811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0</xdr:colOff>
      <xdr:row>28</xdr:row>
      <xdr:rowOff>0</xdr:rowOff>
    </xdr:from>
    <xdr:to>
      <xdr:col>189</xdr:col>
      <xdr:colOff>0</xdr:colOff>
      <xdr:row>32</xdr:row>
      <xdr:rowOff>0</xdr:rowOff>
    </xdr:to>
    <xdr:sp>
      <xdr:nvSpPr>
        <xdr:cNvPr id="154" name="Rectangle 157"/>
        <xdr:cNvSpPr>
          <a:spLocks/>
        </xdr:cNvSpPr>
      </xdr:nvSpPr>
      <xdr:spPr>
        <a:xfrm>
          <a:off x="101117400" y="4552950"/>
          <a:ext cx="3248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0</xdr:colOff>
      <xdr:row>33</xdr:row>
      <xdr:rowOff>0</xdr:rowOff>
    </xdr:from>
    <xdr:to>
      <xdr:col>189</xdr:col>
      <xdr:colOff>0</xdr:colOff>
      <xdr:row>39</xdr:row>
      <xdr:rowOff>0</xdr:rowOff>
    </xdr:to>
    <xdr:sp>
      <xdr:nvSpPr>
        <xdr:cNvPr id="155" name="Rectangle 158"/>
        <xdr:cNvSpPr>
          <a:spLocks/>
        </xdr:cNvSpPr>
      </xdr:nvSpPr>
      <xdr:spPr>
        <a:xfrm>
          <a:off x="101117400" y="5410200"/>
          <a:ext cx="32480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33</xdr:row>
      <xdr:rowOff>0</xdr:rowOff>
    </xdr:from>
    <xdr:to>
      <xdr:col>193</xdr:col>
      <xdr:colOff>0</xdr:colOff>
      <xdr:row>39</xdr:row>
      <xdr:rowOff>0</xdr:rowOff>
    </xdr:to>
    <xdr:sp>
      <xdr:nvSpPr>
        <xdr:cNvPr id="156" name="Rectangle 159"/>
        <xdr:cNvSpPr>
          <a:spLocks/>
        </xdr:cNvSpPr>
      </xdr:nvSpPr>
      <xdr:spPr>
        <a:xfrm>
          <a:off x="104365425" y="5410200"/>
          <a:ext cx="18859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28</xdr:row>
      <xdr:rowOff>0</xdr:rowOff>
    </xdr:from>
    <xdr:to>
      <xdr:col>193</xdr:col>
      <xdr:colOff>0</xdr:colOff>
      <xdr:row>32</xdr:row>
      <xdr:rowOff>0</xdr:rowOff>
    </xdr:to>
    <xdr:sp>
      <xdr:nvSpPr>
        <xdr:cNvPr id="157" name="Rectangle 160"/>
        <xdr:cNvSpPr>
          <a:spLocks/>
        </xdr:cNvSpPr>
      </xdr:nvSpPr>
      <xdr:spPr>
        <a:xfrm>
          <a:off x="104365425" y="4552950"/>
          <a:ext cx="18859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0</xdr:colOff>
      <xdr:row>28</xdr:row>
      <xdr:rowOff>0</xdr:rowOff>
    </xdr:from>
    <xdr:to>
      <xdr:col>196</xdr:col>
      <xdr:colOff>0</xdr:colOff>
      <xdr:row>32</xdr:row>
      <xdr:rowOff>0</xdr:rowOff>
    </xdr:to>
    <xdr:sp>
      <xdr:nvSpPr>
        <xdr:cNvPr id="158" name="Rectangle 161"/>
        <xdr:cNvSpPr>
          <a:spLocks/>
        </xdr:cNvSpPr>
      </xdr:nvSpPr>
      <xdr:spPr>
        <a:xfrm>
          <a:off x="106251375" y="4552950"/>
          <a:ext cx="1381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0</xdr:colOff>
      <xdr:row>41</xdr:row>
      <xdr:rowOff>0</xdr:rowOff>
    </xdr:from>
    <xdr:to>
      <xdr:col>189</xdr:col>
      <xdr:colOff>0</xdr:colOff>
      <xdr:row>46</xdr:row>
      <xdr:rowOff>0</xdr:rowOff>
    </xdr:to>
    <xdr:sp>
      <xdr:nvSpPr>
        <xdr:cNvPr id="159" name="Rectangle 162"/>
        <xdr:cNvSpPr>
          <a:spLocks/>
        </xdr:cNvSpPr>
      </xdr:nvSpPr>
      <xdr:spPr>
        <a:xfrm>
          <a:off x="101117400" y="6781800"/>
          <a:ext cx="32480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41</xdr:row>
      <xdr:rowOff>0</xdr:rowOff>
    </xdr:from>
    <xdr:to>
      <xdr:col>193</xdr:col>
      <xdr:colOff>0</xdr:colOff>
      <xdr:row>46</xdr:row>
      <xdr:rowOff>0</xdr:rowOff>
    </xdr:to>
    <xdr:sp>
      <xdr:nvSpPr>
        <xdr:cNvPr id="160" name="Rectangle 163"/>
        <xdr:cNvSpPr>
          <a:spLocks/>
        </xdr:cNvSpPr>
      </xdr:nvSpPr>
      <xdr:spPr>
        <a:xfrm>
          <a:off x="104365425" y="6781800"/>
          <a:ext cx="18859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0</xdr:colOff>
      <xdr:row>33</xdr:row>
      <xdr:rowOff>0</xdr:rowOff>
    </xdr:from>
    <xdr:to>
      <xdr:col>196</xdr:col>
      <xdr:colOff>0</xdr:colOff>
      <xdr:row>39</xdr:row>
      <xdr:rowOff>0</xdr:rowOff>
    </xdr:to>
    <xdr:sp>
      <xdr:nvSpPr>
        <xdr:cNvPr id="161" name="Rectangle 164"/>
        <xdr:cNvSpPr>
          <a:spLocks/>
        </xdr:cNvSpPr>
      </xdr:nvSpPr>
      <xdr:spPr>
        <a:xfrm>
          <a:off x="106251375" y="541020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0</xdr:colOff>
      <xdr:row>41</xdr:row>
      <xdr:rowOff>0</xdr:rowOff>
    </xdr:from>
    <xdr:to>
      <xdr:col>196</xdr:col>
      <xdr:colOff>0</xdr:colOff>
      <xdr:row>46</xdr:row>
      <xdr:rowOff>0</xdr:rowOff>
    </xdr:to>
    <xdr:sp>
      <xdr:nvSpPr>
        <xdr:cNvPr id="162" name="Rectangle 165"/>
        <xdr:cNvSpPr>
          <a:spLocks/>
        </xdr:cNvSpPr>
      </xdr:nvSpPr>
      <xdr:spPr>
        <a:xfrm>
          <a:off x="106251375" y="6781800"/>
          <a:ext cx="1381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0</xdr:colOff>
      <xdr:row>28</xdr:row>
      <xdr:rowOff>0</xdr:rowOff>
    </xdr:from>
    <xdr:to>
      <xdr:col>200</xdr:col>
      <xdr:colOff>0</xdr:colOff>
      <xdr:row>32</xdr:row>
      <xdr:rowOff>0</xdr:rowOff>
    </xdr:to>
    <xdr:sp>
      <xdr:nvSpPr>
        <xdr:cNvPr id="163" name="Rectangle 166"/>
        <xdr:cNvSpPr>
          <a:spLocks/>
        </xdr:cNvSpPr>
      </xdr:nvSpPr>
      <xdr:spPr>
        <a:xfrm>
          <a:off x="107632500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0</xdr:colOff>
      <xdr:row>10</xdr:row>
      <xdr:rowOff>0</xdr:rowOff>
    </xdr:from>
    <xdr:to>
      <xdr:col>200</xdr:col>
      <xdr:colOff>0</xdr:colOff>
      <xdr:row>26</xdr:row>
      <xdr:rowOff>0</xdr:rowOff>
    </xdr:to>
    <xdr:sp>
      <xdr:nvSpPr>
        <xdr:cNvPr id="164" name="Rectangle 167"/>
        <xdr:cNvSpPr>
          <a:spLocks/>
        </xdr:cNvSpPr>
      </xdr:nvSpPr>
      <xdr:spPr>
        <a:xfrm>
          <a:off x="107632500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0</xdr:colOff>
      <xdr:row>33</xdr:row>
      <xdr:rowOff>0</xdr:rowOff>
    </xdr:from>
    <xdr:to>
      <xdr:col>200</xdr:col>
      <xdr:colOff>0</xdr:colOff>
      <xdr:row>39</xdr:row>
      <xdr:rowOff>0</xdr:rowOff>
    </xdr:to>
    <xdr:sp>
      <xdr:nvSpPr>
        <xdr:cNvPr id="165" name="Rectangle 168"/>
        <xdr:cNvSpPr>
          <a:spLocks/>
        </xdr:cNvSpPr>
      </xdr:nvSpPr>
      <xdr:spPr>
        <a:xfrm>
          <a:off x="107632500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0</xdr:colOff>
      <xdr:row>41</xdr:row>
      <xdr:rowOff>0</xdr:rowOff>
    </xdr:from>
    <xdr:to>
      <xdr:col>200</xdr:col>
      <xdr:colOff>0</xdr:colOff>
      <xdr:row>46</xdr:row>
      <xdr:rowOff>0</xdr:rowOff>
    </xdr:to>
    <xdr:sp>
      <xdr:nvSpPr>
        <xdr:cNvPr id="166" name="Rectangle 169"/>
        <xdr:cNvSpPr>
          <a:spLocks/>
        </xdr:cNvSpPr>
      </xdr:nvSpPr>
      <xdr:spPr>
        <a:xfrm>
          <a:off x="107632500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866775</xdr:colOff>
      <xdr:row>33</xdr:row>
      <xdr:rowOff>0</xdr:rowOff>
    </xdr:from>
    <xdr:to>
      <xdr:col>188</xdr:col>
      <xdr:colOff>342900</xdr:colOff>
      <xdr:row>39</xdr:row>
      <xdr:rowOff>0</xdr:rowOff>
    </xdr:to>
    <xdr:sp>
      <xdr:nvSpPr>
        <xdr:cNvPr id="167" name="Rectangle 170"/>
        <xdr:cNvSpPr>
          <a:spLocks/>
        </xdr:cNvSpPr>
      </xdr:nvSpPr>
      <xdr:spPr>
        <a:xfrm>
          <a:off x="101117400" y="5410200"/>
          <a:ext cx="32480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0</xdr:colOff>
      <xdr:row>11</xdr:row>
      <xdr:rowOff>0</xdr:rowOff>
    </xdr:from>
    <xdr:to>
      <xdr:col>209</xdr:col>
      <xdr:colOff>0</xdr:colOff>
      <xdr:row>26</xdr:row>
      <xdr:rowOff>0</xdr:rowOff>
    </xdr:to>
    <xdr:sp>
      <xdr:nvSpPr>
        <xdr:cNvPr id="168" name="Rectangle 171"/>
        <xdr:cNvSpPr>
          <a:spLocks/>
        </xdr:cNvSpPr>
      </xdr:nvSpPr>
      <xdr:spPr>
        <a:xfrm>
          <a:off x="111871125" y="1657350"/>
          <a:ext cx="312420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0</xdr:colOff>
      <xdr:row>11</xdr:row>
      <xdr:rowOff>0</xdr:rowOff>
    </xdr:from>
    <xdr:to>
      <xdr:col>213</xdr:col>
      <xdr:colOff>0</xdr:colOff>
      <xdr:row>26</xdr:row>
      <xdr:rowOff>0</xdr:rowOff>
    </xdr:to>
    <xdr:sp>
      <xdr:nvSpPr>
        <xdr:cNvPr id="169" name="Rectangle 172"/>
        <xdr:cNvSpPr>
          <a:spLocks/>
        </xdr:cNvSpPr>
      </xdr:nvSpPr>
      <xdr:spPr>
        <a:xfrm>
          <a:off x="114995325" y="1657350"/>
          <a:ext cx="18859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0</xdr:colOff>
      <xdr:row>11</xdr:row>
      <xdr:rowOff>0</xdr:rowOff>
    </xdr:from>
    <xdr:to>
      <xdr:col>216</xdr:col>
      <xdr:colOff>0</xdr:colOff>
      <xdr:row>26</xdr:row>
      <xdr:rowOff>0</xdr:rowOff>
    </xdr:to>
    <xdr:sp>
      <xdr:nvSpPr>
        <xdr:cNvPr id="170" name="Rectangle 173"/>
        <xdr:cNvSpPr>
          <a:spLocks/>
        </xdr:cNvSpPr>
      </xdr:nvSpPr>
      <xdr:spPr>
        <a:xfrm>
          <a:off x="116881275" y="1657350"/>
          <a:ext cx="13811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0</xdr:colOff>
      <xdr:row>28</xdr:row>
      <xdr:rowOff>0</xdr:rowOff>
    </xdr:from>
    <xdr:to>
      <xdr:col>209</xdr:col>
      <xdr:colOff>0</xdr:colOff>
      <xdr:row>32</xdr:row>
      <xdr:rowOff>0</xdr:rowOff>
    </xdr:to>
    <xdr:sp>
      <xdr:nvSpPr>
        <xdr:cNvPr id="171" name="Rectangle 174"/>
        <xdr:cNvSpPr>
          <a:spLocks/>
        </xdr:cNvSpPr>
      </xdr:nvSpPr>
      <xdr:spPr>
        <a:xfrm>
          <a:off x="111871125" y="4552950"/>
          <a:ext cx="31242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0</xdr:colOff>
      <xdr:row>33</xdr:row>
      <xdr:rowOff>0</xdr:rowOff>
    </xdr:from>
    <xdr:to>
      <xdr:col>209</xdr:col>
      <xdr:colOff>0</xdr:colOff>
      <xdr:row>39</xdr:row>
      <xdr:rowOff>0</xdr:rowOff>
    </xdr:to>
    <xdr:sp>
      <xdr:nvSpPr>
        <xdr:cNvPr id="172" name="Rectangle 175"/>
        <xdr:cNvSpPr>
          <a:spLocks/>
        </xdr:cNvSpPr>
      </xdr:nvSpPr>
      <xdr:spPr>
        <a:xfrm>
          <a:off x="111871125" y="5410200"/>
          <a:ext cx="31242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0</xdr:colOff>
      <xdr:row>33</xdr:row>
      <xdr:rowOff>0</xdr:rowOff>
    </xdr:from>
    <xdr:to>
      <xdr:col>213</xdr:col>
      <xdr:colOff>0</xdr:colOff>
      <xdr:row>39</xdr:row>
      <xdr:rowOff>0</xdr:rowOff>
    </xdr:to>
    <xdr:sp>
      <xdr:nvSpPr>
        <xdr:cNvPr id="173" name="Rectangle 176"/>
        <xdr:cNvSpPr>
          <a:spLocks/>
        </xdr:cNvSpPr>
      </xdr:nvSpPr>
      <xdr:spPr>
        <a:xfrm>
          <a:off x="114995325" y="5410200"/>
          <a:ext cx="18859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0</xdr:colOff>
      <xdr:row>28</xdr:row>
      <xdr:rowOff>0</xdr:rowOff>
    </xdr:from>
    <xdr:to>
      <xdr:col>213</xdr:col>
      <xdr:colOff>0</xdr:colOff>
      <xdr:row>32</xdr:row>
      <xdr:rowOff>0</xdr:rowOff>
    </xdr:to>
    <xdr:sp>
      <xdr:nvSpPr>
        <xdr:cNvPr id="174" name="Rectangle 177"/>
        <xdr:cNvSpPr>
          <a:spLocks/>
        </xdr:cNvSpPr>
      </xdr:nvSpPr>
      <xdr:spPr>
        <a:xfrm>
          <a:off x="114995325" y="4552950"/>
          <a:ext cx="18859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0</xdr:colOff>
      <xdr:row>28</xdr:row>
      <xdr:rowOff>0</xdr:rowOff>
    </xdr:from>
    <xdr:to>
      <xdr:col>216</xdr:col>
      <xdr:colOff>0</xdr:colOff>
      <xdr:row>32</xdr:row>
      <xdr:rowOff>0</xdr:rowOff>
    </xdr:to>
    <xdr:sp>
      <xdr:nvSpPr>
        <xdr:cNvPr id="175" name="Rectangle 178"/>
        <xdr:cNvSpPr>
          <a:spLocks/>
        </xdr:cNvSpPr>
      </xdr:nvSpPr>
      <xdr:spPr>
        <a:xfrm>
          <a:off x="116881275" y="4552950"/>
          <a:ext cx="1381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0</xdr:colOff>
      <xdr:row>41</xdr:row>
      <xdr:rowOff>0</xdr:rowOff>
    </xdr:from>
    <xdr:to>
      <xdr:col>209</xdr:col>
      <xdr:colOff>0</xdr:colOff>
      <xdr:row>46</xdr:row>
      <xdr:rowOff>0</xdr:rowOff>
    </xdr:to>
    <xdr:sp>
      <xdr:nvSpPr>
        <xdr:cNvPr id="176" name="Rectangle 179"/>
        <xdr:cNvSpPr>
          <a:spLocks/>
        </xdr:cNvSpPr>
      </xdr:nvSpPr>
      <xdr:spPr>
        <a:xfrm>
          <a:off x="111871125" y="6781800"/>
          <a:ext cx="3124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0</xdr:colOff>
      <xdr:row>41</xdr:row>
      <xdr:rowOff>0</xdr:rowOff>
    </xdr:from>
    <xdr:to>
      <xdr:col>213</xdr:col>
      <xdr:colOff>0</xdr:colOff>
      <xdr:row>46</xdr:row>
      <xdr:rowOff>0</xdr:rowOff>
    </xdr:to>
    <xdr:sp>
      <xdr:nvSpPr>
        <xdr:cNvPr id="177" name="Rectangle 180"/>
        <xdr:cNvSpPr>
          <a:spLocks/>
        </xdr:cNvSpPr>
      </xdr:nvSpPr>
      <xdr:spPr>
        <a:xfrm>
          <a:off x="114995325" y="6781800"/>
          <a:ext cx="18859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0</xdr:colOff>
      <xdr:row>33</xdr:row>
      <xdr:rowOff>0</xdr:rowOff>
    </xdr:from>
    <xdr:to>
      <xdr:col>216</xdr:col>
      <xdr:colOff>0</xdr:colOff>
      <xdr:row>39</xdr:row>
      <xdr:rowOff>0</xdr:rowOff>
    </xdr:to>
    <xdr:sp>
      <xdr:nvSpPr>
        <xdr:cNvPr id="178" name="Rectangle 181"/>
        <xdr:cNvSpPr>
          <a:spLocks/>
        </xdr:cNvSpPr>
      </xdr:nvSpPr>
      <xdr:spPr>
        <a:xfrm>
          <a:off x="116881275" y="541020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0</xdr:colOff>
      <xdr:row>41</xdr:row>
      <xdr:rowOff>0</xdr:rowOff>
    </xdr:from>
    <xdr:to>
      <xdr:col>216</xdr:col>
      <xdr:colOff>0</xdr:colOff>
      <xdr:row>46</xdr:row>
      <xdr:rowOff>0</xdr:rowOff>
    </xdr:to>
    <xdr:sp>
      <xdr:nvSpPr>
        <xdr:cNvPr id="179" name="Rectangle 182"/>
        <xdr:cNvSpPr>
          <a:spLocks/>
        </xdr:cNvSpPr>
      </xdr:nvSpPr>
      <xdr:spPr>
        <a:xfrm>
          <a:off x="116881275" y="6781800"/>
          <a:ext cx="1381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28</xdr:row>
      <xdr:rowOff>0</xdr:rowOff>
    </xdr:from>
    <xdr:to>
      <xdr:col>220</xdr:col>
      <xdr:colOff>0</xdr:colOff>
      <xdr:row>32</xdr:row>
      <xdr:rowOff>0</xdr:rowOff>
    </xdr:to>
    <xdr:sp>
      <xdr:nvSpPr>
        <xdr:cNvPr id="180" name="Rectangle 183"/>
        <xdr:cNvSpPr>
          <a:spLocks/>
        </xdr:cNvSpPr>
      </xdr:nvSpPr>
      <xdr:spPr>
        <a:xfrm>
          <a:off x="118262400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10</xdr:row>
      <xdr:rowOff>0</xdr:rowOff>
    </xdr:from>
    <xdr:to>
      <xdr:col>220</xdr:col>
      <xdr:colOff>0</xdr:colOff>
      <xdr:row>26</xdr:row>
      <xdr:rowOff>0</xdr:rowOff>
    </xdr:to>
    <xdr:sp>
      <xdr:nvSpPr>
        <xdr:cNvPr id="181" name="Rectangle 184"/>
        <xdr:cNvSpPr>
          <a:spLocks/>
        </xdr:cNvSpPr>
      </xdr:nvSpPr>
      <xdr:spPr>
        <a:xfrm>
          <a:off x="118262400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33</xdr:row>
      <xdr:rowOff>0</xdr:rowOff>
    </xdr:from>
    <xdr:to>
      <xdr:col>220</xdr:col>
      <xdr:colOff>0</xdr:colOff>
      <xdr:row>39</xdr:row>
      <xdr:rowOff>0</xdr:rowOff>
    </xdr:to>
    <xdr:sp>
      <xdr:nvSpPr>
        <xdr:cNvPr id="182" name="Rectangle 185"/>
        <xdr:cNvSpPr>
          <a:spLocks/>
        </xdr:cNvSpPr>
      </xdr:nvSpPr>
      <xdr:spPr>
        <a:xfrm>
          <a:off x="118262400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41</xdr:row>
      <xdr:rowOff>0</xdr:rowOff>
    </xdr:from>
    <xdr:to>
      <xdr:col>220</xdr:col>
      <xdr:colOff>0</xdr:colOff>
      <xdr:row>46</xdr:row>
      <xdr:rowOff>0</xdr:rowOff>
    </xdr:to>
    <xdr:sp>
      <xdr:nvSpPr>
        <xdr:cNvPr id="183" name="Rectangle 186"/>
        <xdr:cNvSpPr>
          <a:spLocks/>
        </xdr:cNvSpPr>
      </xdr:nvSpPr>
      <xdr:spPr>
        <a:xfrm>
          <a:off x="118262400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866775</xdr:colOff>
      <xdr:row>33</xdr:row>
      <xdr:rowOff>0</xdr:rowOff>
    </xdr:from>
    <xdr:to>
      <xdr:col>208</xdr:col>
      <xdr:colOff>342900</xdr:colOff>
      <xdr:row>39</xdr:row>
      <xdr:rowOff>0</xdr:rowOff>
    </xdr:to>
    <xdr:sp>
      <xdr:nvSpPr>
        <xdr:cNvPr id="184" name="Rectangle 187"/>
        <xdr:cNvSpPr>
          <a:spLocks/>
        </xdr:cNvSpPr>
      </xdr:nvSpPr>
      <xdr:spPr>
        <a:xfrm>
          <a:off x="111871125" y="5410200"/>
          <a:ext cx="312420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11</xdr:row>
      <xdr:rowOff>0</xdr:rowOff>
    </xdr:from>
    <xdr:to>
      <xdr:col>220</xdr:col>
      <xdr:colOff>0</xdr:colOff>
      <xdr:row>26</xdr:row>
      <xdr:rowOff>0</xdr:rowOff>
    </xdr:to>
    <xdr:sp>
      <xdr:nvSpPr>
        <xdr:cNvPr id="185" name="Rectangle 188"/>
        <xdr:cNvSpPr>
          <a:spLocks/>
        </xdr:cNvSpPr>
      </xdr:nvSpPr>
      <xdr:spPr>
        <a:xfrm>
          <a:off x="120176925" y="1657350"/>
          <a:ext cx="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11</xdr:row>
      <xdr:rowOff>0</xdr:rowOff>
    </xdr:from>
    <xdr:to>
      <xdr:col>220</xdr:col>
      <xdr:colOff>0</xdr:colOff>
      <xdr:row>26</xdr:row>
      <xdr:rowOff>0</xdr:rowOff>
    </xdr:to>
    <xdr:sp>
      <xdr:nvSpPr>
        <xdr:cNvPr id="186" name="Rectangle 189"/>
        <xdr:cNvSpPr>
          <a:spLocks/>
        </xdr:cNvSpPr>
      </xdr:nvSpPr>
      <xdr:spPr>
        <a:xfrm>
          <a:off x="120176925" y="1657350"/>
          <a:ext cx="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11</xdr:row>
      <xdr:rowOff>0</xdr:rowOff>
    </xdr:from>
    <xdr:to>
      <xdr:col>220</xdr:col>
      <xdr:colOff>0</xdr:colOff>
      <xdr:row>26</xdr:row>
      <xdr:rowOff>0</xdr:rowOff>
    </xdr:to>
    <xdr:sp>
      <xdr:nvSpPr>
        <xdr:cNvPr id="187" name="Rectangle 190"/>
        <xdr:cNvSpPr>
          <a:spLocks/>
        </xdr:cNvSpPr>
      </xdr:nvSpPr>
      <xdr:spPr>
        <a:xfrm>
          <a:off x="120176925" y="1657350"/>
          <a:ext cx="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28</xdr:row>
      <xdr:rowOff>0</xdr:rowOff>
    </xdr:from>
    <xdr:to>
      <xdr:col>220</xdr:col>
      <xdr:colOff>0</xdr:colOff>
      <xdr:row>32</xdr:row>
      <xdr:rowOff>0</xdr:rowOff>
    </xdr:to>
    <xdr:sp>
      <xdr:nvSpPr>
        <xdr:cNvPr id="188" name="Rectangle 191"/>
        <xdr:cNvSpPr>
          <a:spLocks/>
        </xdr:cNvSpPr>
      </xdr:nvSpPr>
      <xdr:spPr>
        <a:xfrm>
          <a:off x="120176925" y="4552950"/>
          <a:ext cx="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33</xdr:row>
      <xdr:rowOff>0</xdr:rowOff>
    </xdr:from>
    <xdr:to>
      <xdr:col>220</xdr:col>
      <xdr:colOff>0</xdr:colOff>
      <xdr:row>39</xdr:row>
      <xdr:rowOff>0</xdr:rowOff>
    </xdr:to>
    <xdr:sp>
      <xdr:nvSpPr>
        <xdr:cNvPr id="189" name="Rectangle 192"/>
        <xdr:cNvSpPr>
          <a:spLocks/>
        </xdr:cNvSpPr>
      </xdr:nvSpPr>
      <xdr:spPr>
        <a:xfrm>
          <a:off x="120176925" y="5410200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33</xdr:row>
      <xdr:rowOff>0</xdr:rowOff>
    </xdr:from>
    <xdr:to>
      <xdr:col>220</xdr:col>
      <xdr:colOff>0</xdr:colOff>
      <xdr:row>39</xdr:row>
      <xdr:rowOff>0</xdr:rowOff>
    </xdr:to>
    <xdr:sp>
      <xdr:nvSpPr>
        <xdr:cNvPr id="190" name="Rectangle 193"/>
        <xdr:cNvSpPr>
          <a:spLocks/>
        </xdr:cNvSpPr>
      </xdr:nvSpPr>
      <xdr:spPr>
        <a:xfrm>
          <a:off x="120176925" y="5410200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28</xdr:row>
      <xdr:rowOff>0</xdr:rowOff>
    </xdr:from>
    <xdr:to>
      <xdr:col>220</xdr:col>
      <xdr:colOff>0</xdr:colOff>
      <xdr:row>32</xdr:row>
      <xdr:rowOff>0</xdr:rowOff>
    </xdr:to>
    <xdr:sp>
      <xdr:nvSpPr>
        <xdr:cNvPr id="191" name="Rectangle 194"/>
        <xdr:cNvSpPr>
          <a:spLocks/>
        </xdr:cNvSpPr>
      </xdr:nvSpPr>
      <xdr:spPr>
        <a:xfrm>
          <a:off x="120176925" y="4552950"/>
          <a:ext cx="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28</xdr:row>
      <xdr:rowOff>0</xdr:rowOff>
    </xdr:from>
    <xdr:to>
      <xdr:col>220</xdr:col>
      <xdr:colOff>0</xdr:colOff>
      <xdr:row>32</xdr:row>
      <xdr:rowOff>0</xdr:rowOff>
    </xdr:to>
    <xdr:sp>
      <xdr:nvSpPr>
        <xdr:cNvPr id="192" name="Rectangle 195"/>
        <xdr:cNvSpPr>
          <a:spLocks/>
        </xdr:cNvSpPr>
      </xdr:nvSpPr>
      <xdr:spPr>
        <a:xfrm>
          <a:off x="120176925" y="4552950"/>
          <a:ext cx="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41</xdr:row>
      <xdr:rowOff>0</xdr:rowOff>
    </xdr:from>
    <xdr:to>
      <xdr:col>220</xdr:col>
      <xdr:colOff>0</xdr:colOff>
      <xdr:row>46</xdr:row>
      <xdr:rowOff>0</xdr:rowOff>
    </xdr:to>
    <xdr:sp>
      <xdr:nvSpPr>
        <xdr:cNvPr id="193" name="Rectangle 196"/>
        <xdr:cNvSpPr>
          <a:spLocks/>
        </xdr:cNvSpPr>
      </xdr:nvSpPr>
      <xdr:spPr>
        <a:xfrm>
          <a:off x="120176925" y="6781800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41</xdr:row>
      <xdr:rowOff>0</xdr:rowOff>
    </xdr:from>
    <xdr:to>
      <xdr:col>220</xdr:col>
      <xdr:colOff>0</xdr:colOff>
      <xdr:row>46</xdr:row>
      <xdr:rowOff>0</xdr:rowOff>
    </xdr:to>
    <xdr:sp>
      <xdr:nvSpPr>
        <xdr:cNvPr id="194" name="Rectangle 197"/>
        <xdr:cNvSpPr>
          <a:spLocks/>
        </xdr:cNvSpPr>
      </xdr:nvSpPr>
      <xdr:spPr>
        <a:xfrm>
          <a:off x="120176925" y="6781800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33</xdr:row>
      <xdr:rowOff>0</xdr:rowOff>
    </xdr:from>
    <xdr:to>
      <xdr:col>220</xdr:col>
      <xdr:colOff>0</xdr:colOff>
      <xdr:row>39</xdr:row>
      <xdr:rowOff>0</xdr:rowOff>
    </xdr:to>
    <xdr:sp>
      <xdr:nvSpPr>
        <xdr:cNvPr id="195" name="Rectangle 198"/>
        <xdr:cNvSpPr>
          <a:spLocks/>
        </xdr:cNvSpPr>
      </xdr:nvSpPr>
      <xdr:spPr>
        <a:xfrm>
          <a:off x="120176925" y="5410200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41</xdr:row>
      <xdr:rowOff>0</xdr:rowOff>
    </xdr:from>
    <xdr:to>
      <xdr:col>220</xdr:col>
      <xdr:colOff>0</xdr:colOff>
      <xdr:row>46</xdr:row>
      <xdr:rowOff>0</xdr:rowOff>
    </xdr:to>
    <xdr:sp>
      <xdr:nvSpPr>
        <xdr:cNvPr id="196" name="Rectangle 199"/>
        <xdr:cNvSpPr>
          <a:spLocks/>
        </xdr:cNvSpPr>
      </xdr:nvSpPr>
      <xdr:spPr>
        <a:xfrm>
          <a:off x="120176925" y="6781800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28</xdr:row>
      <xdr:rowOff>0</xdr:rowOff>
    </xdr:from>
    <xdr:to>
      <xdr:col>220</xdr:col>
      <xdr:colOff>0</xdr:colOff>
      <xdr:row>32</xdr:row>
      <xdr:rowOff>0</xdr:rowOff>
    </xdr:to>
    <xdr:sp>
      <xdr:nvSpPr>
        <xdr:cNvPr id="197" name="Rectangle 200"/>
        <xdr:cNvSpPr>
          <a:spLocks/>
        </xdr:cNvSpPr>
      </xdr:nvSpPr>
      <xdr:spPr>
        <a:xfrm>
          <a:off x="120176925" y="4552950"/>
          <a:ext cx="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10</xdr:row>
      <xdr:rowOff>0</xdr:rowOff>
    </xdr:from>
    <xdr:to>
      <xdr:col>220</xdr:col>
      <xdr:colOff>0</xdr:colOff>
      <xdr:row>26</xdr:row>
      <xdr:rowOff>0</xdr:rowOff>
    </xdr:to>
    <xdr:sp>
      <xdr:nvSpPr>
        <xdr:cNvPr id="198" name="Rectangle 201"/>
        <xdr:cNvSpPr>
          <a:spLocks/>
        </xdr:cNvSpPr>
      </xdr:nvSpPr>
      <xdr:spPr>
        <a:xfrm>
          <a:off x="120176925" y="1485900"/>
          <a:ext cx="0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33</xdr:row>
      <xdr:rowOff>0</xdr:rowOff>
    </xdr:from>
    <xdr:to>
      <xdr:col>220</xdr:col>
      <xdr:colOff>0</xdr:colOff>
      <xdr:row>39</xdr:row>
      <xdr:rowOff>0</xdr:rowOff>
    </xdr:to>
    <xdr:sp>
      <xdr:nvSpPr>
        <xdr:cNvPr id="199" name="Rectangle 202"/>
        <xdr:cNvSpPr>
          <a:spLocks/>
        </xdr:cNvSpPr>
      </xdr:nvSpPr>
      <xdr:spPr>
        <a:xfrm>
          <a:off x="120176925" y="5410200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41</xdr:row>
      <xdr:rowOff>0</xdr:rowOff>
    </xdr:from>
    <xdr:to>
      <xdr:col>220</xdr:col>
      <xdr:colOff>0</xdr:colOff>
      <xdr:row>46</xdr:row>
      <xdr:rowOff>0</xdr:rowOff>
    </xdr:to>
    <xdr:sp>
      <xdr:nvSpPr>
        <xdr:cNvPr id="200" name="Rectangle 203"/>
        <xdr:cNvSpPr>
          <a:spLocks/>
        </xdr:cNvSpPr>
      </xdr:nvSpPr>
      <xdr:spPr>
        <a:xfrm>
          <a:off x="120176925" y="6781800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0</xdr:colOff>
      <xdr:row>33</xdr:row>
      <xdr:rowOff>0</xdr:rowOff>
    </xdr:from>
    <xdr:to>
      <xdr:col>220</xdr:col>
      <xdr:colOff>0</xdr:colOff>
      <xdr:row>39</xdr:row>
      <xdr:rowOff>0</xdr:rowOff>
    </xdr:to>
    <xdr:sp>
      <xdr:nvSpPr>
        <xdr:cNvPr id="201" name="Rectangle 204"/>
        <xdr:cNvSpPr>
          <a:spLocks/>
        </xdr:cNvSpPr>
      </xdr:nvSpPr>
      <xdr:spPr>
        <a:xfrm>
          <a:off x="120176925" y="5410200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0</xdr:colOff>
      <xdr:row>11</xdr:row>
      <xdr:rowOff>0</xdr:rowOff>
    </xdr:from>
    <xdr:to>
      <xdr:col>229</xdr:col>
      <xdr:colOff>0</xdr:colOff>
      <xdr:row>26</xdr:row>
      <xdr:rowOff>0</xdr:rowOff>
    </xdr:to>
    <xdr:sp>
      <xdr:nvSpPr>
        <xdr:cNvPr id="202" name="Rectangle 205"/>
        <xdr:cNvSpPr>
          <a:spLocks/>
        </xdr:cNvSpPr>
      </xdr:nvSpPr>
      <xdr:spPr>
        <a:xfrm>
          <a:off x="122015250" y="1657350"/>
          <a:ext cx="33337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0</xdr:colOff>
      <xdr:row>11</xdr:row>
      <xdr:rowOff>0</xdr:rowOff>
    </xdr:from>
    <xdr:to>
      <xdr:col>233</xdr:col>
      <xdr:colOff>0</xdr:colOff>
      <xdr:row>26</xdr:row>
      <xdr:rowOff>0</xdr:rowOff>
    </xdr:to>
    <xdr:sp>
      <xdr:nvSpPr>
        <xdr:cNvPr id="203" name="Rectangle 206"/>
        <xdr:cNvSpPr>
          <a:spLocks/>
        </xdr:cNvSpPr>
      </xdr:nvSpPr>
      <xdr:spPr>
        <a:xfrm>
          <a:off x="125349000" y="1657350"/>
          <a:ext cx="18859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0</xdr:colOff>
      <xdr:row>11</xdr:row>
      <xdr:rowOff>0</xdr:rowOff>
    </xdr:from>
    <xdr:to>
      <xdr:col>236</xdr:col>
      <xdr:colOff>0</xdr:colOff>
      <xdr:row>26</xdr:row>
      <xdr:rowOff>0</xdr:rowOff>
    </xdr:to>
    <xdr:sp>
      <xdr:nvSpPr>
        <xdr:cNvPr id="204" name="Rectangle 207"/>
        <xdr:cNvSpPr>
          <a:spLocks/>
        </xdr:cNvSpPr>
      </xdr:nvSpPr>
      <xdr:spPr>
        <a:xfrm>
          <a:off x="127234950" y="1657350"/>
          <a:ext cx="13811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0</xdr:colOff>
      <xdr:row>28</xdr:row>
      <xdr:rowOff>0</xdr:rowOff>
    </xdr:from>
    <xdr:to>
      <xdr:col>229</xdr:col>
      <xdr:colOff>0</xdr:colOff>
      <xdr:row>32</xdr:row>
      <xdr:rowOff>0</xdr:rowOff>
    </xdr:to>
    <xdr:sp>
      <xdr:nvSpPr>
        <xdr:cNvPr id="205" name="Rectangle 208"/>
        <xdr:cNvSpPr>
          <a:spLocks/>
        </xdr:cNvSpPr>
      </xdr:nvSpPr>
      <xdr:spPr>
        <a:xfrm>
          <a:off x="122015250" y="4552950"/>
          <a:ext cx="33337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0</xdr:colOff>
      <xdr:row>33</xdr:row>
      <xdr:rowOff>0</xdr:rowOff>
    </xdr:from>
    <xdr:to>
      <xdr:col>229</xdr:col>
      <xdr:colOff>0</xdr:colOff>
      <xdr:row>39</xdr:row>
      <xdr:rowOff>0</xdr:rowOff>
    </xdr:to>
    <xdr:sp>
      <xdr:nvSpPr>
        <xdr:cNvPr id="206" name="Rectangle 209"/>
        <xdr:cNvSpPr>
          <a:spLocks/>
        </xdr:cNvSpPr>
      </xdr:nvSpPr>
      <xdr:spPr>
        <a:xfrm>
          <a:off x="122015250" y="5410200"/>
          <a:ext cx="33337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0</xdr:colOff>
      <xdr:row>33</xdr:row>
      <xdr:rowOff>0</xdr:rowOff>
    </xdr:from>
    <xdr:to>
      <xdr:col>233</xdr:col>
      <xdr:colOff>0</xdr:colOff>
      <xdr:row>39</xdr:row>
      <xdr:rowOff>0</xdr:rowOff>
    </xdr:to>
    <xdr:sp>
      <xdr:nvSpPr>
        <xdr:cNvPr id="207" name="Rectangle 210"/>
        <xdr:cNvSpPr>
          <a:spLocks/>
        </xdr:cNvSpPr>
      </xdr:nvSpPr>
      <xdr:spPr>
        <a:xfrm>
          <a:off x="125349000" y="5410200"/>
          <a:ext cx="18859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0</xdr:colOff>
      <xdr:row>28</xdr:row>
      <xdr:rowOff>0</xdr:rowOff>
    </xdr:from>
    <xdr:to>
      <xdr:col>233</xdr:col>
      <xdr:colOff>0</xdr:colOff>
      <xdr:row>32</xdr:row>
      <xdr:rowOff>0</xdr:rowOff>
    </xdr:to>
    <xdr:sp>
      <xdr:nvSpPr>
        <xdr:cNvPr id="208" name="Rectangle 211"/>
        <xdr:cNvSpPr>
          <a:spLocks/>
        </xdr:cNvSpPr>
      </xdr:nvSpPr>
      <xdr:spPr>
        <a:xfrm>
          <a:off x="125349000" y="4552950"/>
          <a:ext cx="18859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0</xdr:colOff>
      <xdr:row>28</xdr:row>
      <xdr:rowOff>0</xdr:rowOff>
    </xdr:from>
    <xdr:to>
      <xdr:col>236</xdr:col>
      <xdr:colOff>0</xdr:colOff>
      <xdr:row>32</xdr:row>
      <xdr:rowOff>0</xdr:rowOff>
    </xdr:to>
    <xdr:sp>
      <xdr:nvSpPr>
        <xdr:cNvPr id="209" name="Rectangle 212"/>
        <xdr:cNvSpPr>
          <a:spLocks/>
        </xdr:cNvSpPr>
      </xdr:nvSpPr>
      <xdr:spPr>
        <a:xfrm>
          <a:off x="127234950" y="4552950"/>
          <a:ext cx="1381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0</xdr:colOff>
      <xdr:row>41</xdr:row>
      <xdr:rowOff>0</xdr:rowOff>
    </xdr:from>
    <xdr:to>
      <xdr:col>229</xdr:col>
      <xdr:colOff>0</xdr:colOff>
      <xdr:row>46</xdr:row>
      <xdr:rowOff>0</xdr:rowOff>
    </xdr:to>
    <xdr:sp>
      <xdr:nvSpPr>
        <xdr:cNvPr id="210" name="Rectangle 213"/>
        <xdr:cNvSpPr>
          <a:spLocks/>
        </xdr:cNvSpPr>
      </xdr:nvSpPr>
      <xdr:spPr>
        <a:xfrm>
          <a:off x="122015250" y="6781800"/>
          <a:ext cx="33337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0</xdr:colOff>
      <xdr:row>41</xdr:row>
      <xdr:rowOff>0</xdr:rowOff>
    </xdr:from>
    <xdr:to>
      <xdr:col>233</xdr:col>
      <xdr:colOff>0</xdr:colOff>
      <xdr:row>46</xdr:row>
      <xdr:rowOff>0</xdr:rowOff>
    </xdr:to>
    <xdr:sp>
      <xdr:nvSpPr>
        <xdr:cNvPr id="211" name="Rectangle 214"/>
        <xdr:cNvSpPr>
          <a:spLocks/>
        </xdr:cNvSpPr>
      </xdr:nvSpPr>
      <xdr:spPr>
        <a:xfrm>
          <a:off x="125349000" y="6781800"/>
          <a:ext cx="18859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0</xdr:colOff>
      <xdr:row>33</xdr:row>
      <xdr:rowOff>0</xdr:rowOff>
    </xdr:from>
    <xdr:to>
      <xdr:col>236</xdr:col>
      <xdr:colOff>0</xdr:colOff>
      <xdr:row>39</xdr:row>
      <xdr:rowOff>0</xdr:rowOff>
    </xdr:to>
    <xdr:sp>
      <xdr:nvSpPr>
        <xdr:cNvPr id="212" name="Rectangle 215"/>
        <xdr:cNvSpPr>
          <a:spLocks/>
        </xdr:cNvSpPr>
      </xdr:nvSpPr>
      <xdr:spPr>
        <a:xfrm>
          <a:off x="127234950" y="5410200"/>
          <a:ext cx="13811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0</xdr:colOff>
      <xdr:row>41</xdr:row>
      <xdr:rowOff>0</xdr:rowOff>
    </xdr:from>
    <xdr:to>
      <xdr:col>236</xdr:col>
      <xdr:colOff>0</xdr:colOff>
      <xdr:row>46</xdr:row>
      <xdr:rowOff>0</xdr:rowOff>
    </xdr:to>
    <xdr:sp>
      <xdr:nvSpPr>
        <xdr:cNvPr id="213" name="Rectangle 216"/>
        <xdr:cNvSpPr>
          <a:spLocks/>
        </xdr:cNvSpPr>
      </xdr:nvSpPr>
      <xdr:spPr>
        <a:xfrm>
          <a:off x="127234950" y="6781800"/>
          <a:ext cx="1381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0</xdr:colOff>
      <xdr:row>28</xdr:row>
      <xdr:rowOff>0</xdr:rowOff>
    </xdr:from>
    <xdr:to>
      <xdr:col>240</xdr:col>
      <xdr:colOff>0</xdr:colOff>
      <xdr:row>32</xdr:row>
      <xdr:rowOff>0</xdr:rowOff>
    </xdr:to>
    <xdr:sp>
      <xdr:nvSpPr>
        <xdr:cNvPr id="214" name="Rectangle 217"/>
        <xdr:cNvSpPr>
          <a:spLocks/>
        </xdr:cNvSpPr>
      </xdr:nvSpPr>
      <xdr:spPr>
        <a:xfrm>
          <a:off x="128616075" y="4552950"/>
          <a:ext cx="19145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0</xdr:colOff>
      <xdr:row>10</xdr:row>
      <xdr:rowOff>0</xdr:rowOff>
    </xdr:from>
    <xdr:to>
      <xdr:col>240</xdr:col>
      <xdr:colOff>0</xdr:colOff>
      <xdr:row>26</xdr:row>
      <xdr:rowOff>0</xdr:rowOff>
    </xdr:to>
    <xdr:sp>
      <xdr:nvSpPr>
        <xdr:cNvPr id="215" name="Rectangle 218"/>
        <xdr:cNvSpPr>
          <a:spLocks/>
        </xdr:cNvSpPr>
      </xdr:nvSpPr>
      <xdr:spPr>
        <a:xfrm>
          <a:off x="128616075" y="1485900"/>
          <a:ext cx="1914525" cy="2724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0</xdr:colOff>
      <xdr:row>33</xdr:row>
      <xdr:rowOff>0</xdr:rowOff>
    </xdr:from>
    <xdr:to>
      <xdr:col>240</xdr:col>
      <xdr:colOff>0</xdr:colOff>
      <xdr:row>39</xdr:row>
      <xdr:rowOff>0</xdr:rowOff>
    </xdr:to>
    <xdr:sp>
      <xdr:nvSpPr>
        <xdr:cNvPr id="216" name="Rectangle 219"/>
        <xdr:cNvSpPr>
          <a:spLocks/>
        </xdr:cNvSpPr>
      </xdr:nvSpPr>
      <xdr:spPr>
        <a:xfrm>
          <a:off x="128616075" y="5410200"/>
          <a:ext cx="19145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0</xdr:colOff>
      <xdr:row>41</xdr:row>
      <xdr:rowOff>0</xdr:rowOff>
    </xdr:from>
    <xdr:to>
      <xdr:col>240</xdr:col>
      <xdr:colOff>0</xdr:colOff>
      <xdr:row>46</xdr:row>
      <xdr:rowOff>0</xdr:rowOff>
    </xdr:to>
    <xdr:sp>
      <xdr:nvSpPr>
        <xdr:cNvPr id="217" name="Rectangle 220"/>
        <xdr:cNvSpPr>
          <a:spLocks/>
        </xdr:cNvSpPr>
      </xdr:nvSpPr>
      <xdr:spPr>
        <a:xfrm>
          <a:off x="128616075" y="6781800"/>
          <a:ext cx="19145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866775</xdr:colOff>
      <xdr:row>33</xdr:row>
      <xdr:rowOff>0</xdr:rowOff>
    </xdr:from>
    <xdr:to>
      <xdr:col>228</xdr:col>
      <xdr:colOff>342900</xdr:colOff>
      <xdr:row>39</xdr:row>
      <xdr:rowOff>0</xdr:rowOff>
    </xdr:to>
    <xdr:sp>
      <xdr:nvSpPr>
        <xdr:cNvPr id="218" name="Rectangle 221"/>
        <xdr:cNvSpPr>
          <a:spLocks/>
        </xdr:cNvSpPr>
      </xdr:nvSpPr>
      <xdr:spPr>
        <a:xfrm>
          <a:off x="122015250" y="5410200"/>
          <a:ext cx="33337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9</xdr:col>
      <xdr:colOff>0</xdr:colOff>
      <xdr:row>76</xdr:row>
      <xdr:rowOff>0</xdr:rowOff>
    </xdr:to>
    <xdr:sp>
      <xdr:nvSpPr>
        <xdr:cNvPr id="219" name="Rectangle 222"/>
        <xdr:cNvSpPr>
          <a:spLocks/>
        </xdr:cNvSpPr>
      </xdr:nvSpPr>
      <xdr:spPr>
        <a:xfrm>
          <a:off x="2962275" y="10591800"/>
          <a:ext cx="3933825" cy="2038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13</xdr:col>
      <xdr:colOff>0</xdr:colOff>
      <xdr:row>76</xdr:row>
      <xdr:rowOff>0</xdr:rowOff>
    </xdr:to>
    <xdr:sp>
      <xdr:nvSpPr>
        <xdr:cNvPr id="220" name="Rectangle 223"/>
        <xdr:cNvSpPr>
          <a:spLocks/>
        </xdr:cNvSpPr>
      </xdr:nvSpPr>
      <xdr:spPr>
        <a:xfrm>
          <a:off x="6896100" y="10591800"/>
          <a:ext cx="1943100" cy="2038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16</xdr:col>
      <xdr:colOff>0</xdr:colOff>
      <xdr:row>76</xdr:row>
      <xdr:rowOff>0</xdr:rowOff>
    </xdr:to>
    <xdr:sp>
      <xdr:nvSpPr>
        <xdr:cNvPr id="221" name="Rectangle 224"/>
        <xdr:cNvSpPr>
          <a:spLocks/>
        </xdr:cNvSpPr>
      </xdr:nvSpPr>
      <xdr:spPr>
        <a:xfrm>
          <a:off x="8839200" y="10591800"/>
          <a:ext cx="1485900" cy="2038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9</xdr:col>
      <xdr:colOff>0</xdr:colOff>
      <xdr:row>81</xdr:row>
      <xdr:rowOff>0</xdr:rowOff>
    </xdr:to>
    <xdr:sp>
      <xdr:nvSpPr>
        <xdr:cNvPr id="222" name="Rectangle 225"/>
        <xdr:cNvSpPr>
          <a:spLocks/>
        </xdr:cNvSpPr>
      </xdr:nvSpPr>
      <xdr:spPr>
        <a:xfrm>
          <a:off x="2962275" y="12973050"/>
          <a:ext cx="3933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9</xdr:col>
      <xdr:colOff>0</xdr:colOff>
      <xdr:row>87</xdr:row>
      <xdr:rowOff>0</xdr:rowOff>
    </xdr:to>
    <xdr:sp>
      <xdr:nvSpPr>
        <xdr:cNvPr id="223" name="Rectangle 226"/>
        <xdr:cNvSpPr>
          <a:spLocks/>
        </xdr:cNvSpPr>
      </xdr:nvSpPr>
      <xdr:spPr>
        <a:xfrm>
          <a:off x="2962275" y="13658850"/>
          <a:ext cx="39338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13</xdr:col>
      <xdr:colOff>0</xdr:colOff>
      <xdr:row>87</xdr:row>
      <xdr:rowOff>0</xdr:rowOff>
    </xdr:to>
    <xdr:sp>
      <xdr:nvSpPr>
        <xdr:cNvPr id="224" name="Rectangle 227"/>
        <xdr:cNvSpPr>
          <a:spLocks/>
        </xdr:cNvSpPr>
      </xdr:nvSpPr>
      <xdr:spPr>
        <a:xfrm>
          <a:off x="6896100" y="13658850"/>
          <a:ext cx="19431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13</xdr:col>
      <xdr:colOff>0</xdr:colOff>
      <xdr:row>81</xdr:row>
      <xdr:rowOff>0</xdr:rowOff>
    </xdr:to>
    <xdr:sp>
      <xdr:nvSpPr>
        <xdr:cNvPr id="225" name="Rectangle 228"/>
        <xdr:cNvSpPr>
          <a:spLocks/>
        </xdr:cNvSpPr>
      </xdr:nvSpPr>
      <xdr:spPr>
        <a:xfrm>
          <a:off x="6896100" y="129730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16</xdr:col>
      <xdr:colOff>0</xdr:colOff>
      <xdr:row>81</xdr:row>
      <xdr:rowOff>0</xdr:rowOff>
    </xdr:to>
    <xdr:sp>
      <xdr:nvSpPr>
        <xdr:cNvPr id="226" name="Rectangle 229"/>
        <xdr:cNvSpPr>
          <a:spLocks/>
        </xdr:cNvSpPr>
      </xdr:nvSpPr>
      <xdr:spPr>
        <a:xfrm>
          <a:off x="8839200" y="12973050"/>
          <a:ext cx="1485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9</xdr:col>
      <xdr:colOff>0</xdr:colOff>
      <xdr:row>92</xdr:row>
      <xdr:rowOff>0</xdr:rowOff>
    </xdr:to>
    <xdr:sp>
      <xdr:nvSpPr>
        <xdr:cNvPr id="227" name="Rectangle 230"/>
        <xdr:cNvSpPr>
          <a:spLocks/>
        </xdr:cNvSpPr>
      </xdr:nvSpPr>
      <xdr:spPr>
        <a:xfrm>
          <a:off x="2962275" y="14687550"/>
          <a:ext cx="3933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13</xdr:col>
      <xdr:colOff>0</xdr:colOff>
      <xdr:row>92</xdr:row>
      <xdr:rowOff>0</xdr:rowOff>
    </xdr:to>
    <xdr:sp>
      <xdr:nvSpPr>
        <xdr:cNvPr id="228" name="Rectangle 231"/>
        <xdr:cNvSpPr>
          <a:spLocks/>
        </xdr:cNvSpPr>
      </xdr:nvSpPr>
      <xdr:spPr>
        <a:xfrm>
          <a:off x="6896100" y="14687550"/>
          <a:ext cx="1943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82</xdr:row>
      <xdr:rowOff>0</xdr:rowOff>
    </xdr:from>
    <xdr:to>
      <xdr:col>16</xdr:col>
      <xdr:colOff>0</xdr:colOff>
      <xdr:row>87</xdr:row>
      <xdr:rowOff>0</xdr:rowOff>
    </xdr:to>
    <xdr:sp>
      <xdr:nvSpPr>
        <xdr:cNvPr id="229" name="Rectangle 232"/>
        <xdr:cNvSpPr>
          <a:spLocks/>
        </xdr:cNvSpPr>
      </xdr:nvSpPr>
      <xdr:spPr>
        <a:xfrm>
          <a:off x="8839200" y="13658850"/>
          <a:ext cx="14859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16</xdr:col>
      <xdr:colOff>0</xdr:colOff>
      <xdr:row>92</xdr:row>
      <xdr:rowOff>0</xdr:rowOff>
    </xdr:to>
    <xdr:sp>
      <xdr:nvSpPr>
        <xdr:cNvPr id="230" name="Rectangle 233"/>
        <xdr:cNvSpPr>
          <a:spLocks/>
        </xdr:cNvSpPr>
      </xdr:nvSpPr>
      <xdr:spPr>
        <a:xfrm>
          <a:off x="8839200" y="14687550"/>
          <a:ext cx="14859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78</xdr:row>
      <xdr:rowOff>0</xdr:rowOff>
    </xdr:from>
    <xdr:to>
      <xdr:col>20</xdr:col>
      <xdr:colOff>0</xdr:colOff>
      <xdr:row>81</xdr:row>
      <xdr:rowOff>0</xdr:rowOff>
    </xdr:to>
    <xdr:sp>
      <xdr:nvSpPr>
        <xdr:cNvPr id="231" name="Rectangle 234"/>
        <xdr:cNvSpPr>
          <a:spLocks/>
        </xdr:cNvSpPr>
      </xdr:nvSpPr>
      <xdr:spPr>
        <a:xfrm>
          <a:off x="10325100" y="12973050"/>
          <a:ext cx="21431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0</xdr:rowOff>
    </xdr:from>
    <xdr:to>
      <xdr:col>20</xdr:col>
      <xdr:colOff>0</xdr:colOff>
      <xdr:row>76</xdr:row>
      <xdr:rowOff>0</xdr:rowOff>
    </xdr:to>
    <xdr:sp>
      <xdr:nvSpPr>
        <xdr:cNvPr id="232" name="Rectangle 235"/>
        <xdr:cNvSpPr>
          <a:spLocks/>
        </xdr:cNvSpPr>
      </xdr:nvSpPr>
      <xdr:spPr>
        <a:xfrm>
          <a:off x="10325100" y="10420350"/>
          <a:ext cx="2143125" cy="2209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20</xdr:col>
      <xdr:colOff>0</xdr:colOff>
      <xdr:row>87</xdr:row>
      <xdr:rowOff>0</xdr:rowOff>
    </xdr:to>
    <xdr:sp>
      <xdr:nvSpPr>
        <xdr:cNvPr id="233" name="Rectangle 236"/>
        <xdr:cNvSpPr>
          <a:spLocks/>
        </xdr:cNvSpPr>
      </xdr:nvSpPr>
      <xdr:spPr>
        <a:xfrm>
          <a:off x="10325100" y="13658850"/>
          <a:ext cx="21431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88</xdr:row>
      <xdr:rowOff>0</xdr:rowOff>
    </xdr:from>
    <xdr:to>
      <xdr:col>20</xdr:col>
      <xdr:colOff>0</xdr:colOff>
      <xdr:row>92</xdr:row>
      <xdr:rowOff>0</xdr:rowOff>
    </xdr:to>
    <xdr:sp>
      <xdr:nvSpPr>
        <xdr:cNvPr id="234" name="Rectangle 237"/>
        <xdr:cNvSpPr>
          <a:spLocks/>
        </xdr:cNvSpPr>
      </xdr:nvSpPr>
      <xdr:spPr>
        <a:xfrm>
          <a:off x="10325100" y="14687550"/>
          <a:ext cx="2143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82</xdr:row>
      <xdr:rowOff>0</xdr:rowOff>
    </xdr:from>
    <xdr:to>
      <xdr:col>8</xdr:col>
      <xdr:colOff>447675</xdr:colOff>
      <xdr:row>87</xdr:row>
      <xdr:rowOff>0</xdr:rowOff>
    </xdr:to>
    <xdr:sp>
      <xdr:nvSpPr>
        <xdr:cNvPr id="235" name="Rectangle 238"/>
        <xdr:cNvSpPr>
          <a:spLocks/>
        </xdr:cNvSpPr>
      </xdr:nvSpPr>
      <xdr:spPr>
        <a:xfrm>
          <a:off x="2962275" y="13658850"/>
          <a:ext cx="39338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10</xdr:col>
      <xdr:colOff>0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006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5292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33550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73355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6</xdr:col>
      <xdr:colOff>0</xdr:colOff>
      <xdr:row>19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335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529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5292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73355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73355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7335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40067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5292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733550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73355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6</xdr:col>
      <xdr:colOff>0</xdr:colOff>
      <xdr:row>19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7335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529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5292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733550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73355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7335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0</xdr:colOff>
      <xdr:row>13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4006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5292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4098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13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73355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540067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19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540067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21</xdr:col>
      <xdr:colOff>0</xdr:colOff>
      <xdr:row>13</xdr:row>
      <xdr:rowOff>0</xdr:rowOff>
    </xdr:to>
    <xdr:sp>
      <xdr:nvSpPr>
        <xdr:cNvPr id="27" name="Rectangle 53"/>
        <xdr:cNvSpPr>
          <a:spLocks/>
        </xdr:cNvSpPr>
      </xdr:nvSpPr>
      <xdr:spPr>
        <a:xfrm>
          <a:off x="134969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13</xdr:row>
      <xdr:rowOff>0</xdr:rowOff>
    </xdr:to>
    <xdr:sp>
      <xdr:nvSpPr>
        <xdr:cNvPr id="28" name="Rectangle 54"/>
        <xdr:cNvSpPr>
          <a:spLocks/>
        </xdr:cNvSpPr>
      </xdr:nvSpPr>
      <xdr:spPr>
        <a:xfrm>
          <a:off x="124491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17</xdr:col>
      <xdr:colOff>0</xdr:colOff>
      <xdr:row>13</xdr:row>
      <xdr:rowOff>0</xdr:rowOff>
    </xdr:to>
    <xdr:sp>
      <xdr:nvSpPr>
        <xdr:cNvPr id="29" name="Rectangle 55"/>
        <xdr:cNvSpPr>
          <a:spLocks/>
        </xdr:cNvSpPr>
      </xdr:nvSpPr>
      <xdr:spPr>
        <a:xfrm>
          <a:off x="9829800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0</xdr:colOff>
      <xdr:row>16</xdr:row>
      <xdr:rowOff>0</xdr:rowOff>
    </xdr:to>
    <xdr:sp>
      <xdr:nvSpPr>
        <xdr:cNvPr id="30" name="Rectangle 56"/>
        <xdr:cNvSpPr>
          <a:spLocks/>
        </xdr:cNvSpPr>
      </xdr:nvSpPr>
      <xdr:spPr>
        <a:xfrm>
          <a:off x="98298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98298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32" name="Rectangle 58"/>
        <xdr:cNvSpPr>
          <a:spLocks/>
        </xdr:cNvSpPr>
      </xdr:nvSpPr>
      <xdr:spPr>
        <a:xfrm>
          <a:off x="124491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24491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13</xdr:row>
      <xdr:rowOff>0</xdr:rowOff>
    </xdr:to>
    <xdr:sp>
      <xdr:nvSpPr>
        <xdr:cNvPr id="34" name="Rectangle 60"/>
        <xdr:cNvSpPr>
          <a:spLocks/>
        </xdr:cNvSpPr>
      </xdr:nvSpPr>
      <xdr:spPr>
        <a:xfrm>
          <a:off x="98298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35" name="Rectangle 61"/>
        <xdr:cNvSpPr>
          <a:spLocks/>
        </xdr:cNvSpPr>
      </xdr:nvSpPr>
      <xdr:spPr>
        <a:xfrm>
          <a:off x="98298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36" name="Rectangle 62"/>
        <xdr:cNvSpPr>
          <a:spLocks/>
        </xdr:cNvSpPr>
      </xdr:nvSpPr>
      <xdr:spPr>
        <a:xfrm>
          <a:off x="98298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21</xdr:col>
      <xdr:colOff>0</xdr:colOff>
      <xdr:row>13</xdr:row>
      <xdr:rowOff>0</xdr:rowOff>
    </xdr:to>
    <xdr:sp>
      <xdr:nvSpPr>
        <xdr:cNvPr id="37" name="Rectangle 63"/>
        <xdr:cNvSpPr>
          <a:spLocks/>
        </xdr:cNvSpPr>
      </xdr:nvSpPr>
      <xdr:spPr>
        <a:xfrm>
          <a:off x="1349692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18</xdr:col>
      <xdr:colOff>0</xdr:colOff>
      <xdr:row>13</xdr:row>
      <xdr:rowOff>0</xdr:rowOff>
    </xdr:to>
    <xdr:sp>
      <xdr:nvSpPr>
        <xdr:cNvPr id="38" name="Rectangle 64"/>
        <xdr:cNvSpPr>
          <a:spLocks/>
        </xdr:cNvSpPr>
      </xdr:nvSpPr>
      <xdr:spPr>
        <a:xfrm>
          <a:off x="1244917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0</xdr:colOff>
      <xdr:row>13</xdr:row>
      <xdr:rowOff>0</xdr:rowOff>
    </xdr:to>
    <xdr:sp>
      <xdr:nvSpPr>
        <xdr:cNvPr id="39" name="Rectangle 65"/>
        <xdr:cNvSpPr>
          <a:spLocks/>
        </xdr:cNvSpPr>
      </xdr:nvSpPr>
      <xdr:spPr>
        <a:xfrm>
          <a:off x="9829800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0</xdr:colOff>
      <xdr:row>16</xdr:row>
      <xdr:rowOff>0</xdr:rowOff>
    </xdr:to>
    <xdr:sp>
      <xdr:nvSpPr>
        <xdr:cNvPr id="40" name="Rectangle 66"/>
        <xdr:cNvSpPr>
          <a:spLocks/>
        </xdr:cNvSpPr>
      </xdr:nvSpPr>
      <xdr:spPr>
        <a:xfrm>
          <a:off x="98298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41" name="Rectangle 67"/>
        <xdr:cNvSpPr>
          <a:spLocks/>
        </xdr:cNvSpPr>
      </xdr:nvSpPr>
      <xdr:spPr>
        <a:xfrm>
          <a:off x="98298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42" name="Rectangle 68"/>
        <xdr:cNvSpPr>
          <a:spLocks/>
        </xdr:cNvSpPr>
      </xdr:nvSpPr>
      <xdr:spPr>
        <a:xfrm>
          <a:off x="124491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43" name="Rectangle 69"/>
        <xdr:cNvSpPr>
          <a:spLocks/>
        </xdr:cNvSpPr>
      </xdr:nvSpPr>
      <xdr:spPr>
        <a:xfrm>
          <a:off x="124491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13</xdr:row>
      <xdr:rowOff>0</xdr:rowOff>
    </xdr:to>
    <xdr:sp>
      <xdr:nvSpPr>
        <xdr:cNvPr id="44" name="Rectangle 70"/>
        <xdr:cNvSpPr>
          <a:spLocks/>
        </xdr:cNvSpPr>
      </xdr:nvSpPr>
      <xdr:spPr>
        <a:xfrm>
          <a:off x="9829800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45" name="Rectangle 71"/>
        <xdr:cNvSpPr>
          <a:spLocks/>
        </xdr:cNvSpPr>
      </xdr:nvSpPr>
      <xdr:spPr>
        <a:xfrm>
          <a:off x="98298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46" name="Rectangle 72"/>
        <xdr:cNvSpPr>
          <a:spLocks/>
        </xdr:cNvSpPr>
      </xdr:nvSpPr>
      <xdr:spPr>
        <a:xfrm>
          <a:off x="98298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21</xdr:col>
      <xdr:colOff>0</xdr:colOff>
      <xdr:row>13</xdr:row>
      <xdr:rowOff>0</xdr:rowOff>
    </xdr:to>
    <xdr:sp>
      <xdr:nvSpPr>
        <xdr:cNvPr id="47" name="Rectangle 73"/>
        <xdr:cNvSpPr>
          <a:spLocks/>
        </xdr:cNvSpPr>
      </xdr:nvSpPr>
      <xdr:spPr>
        <a:xfrm>
          <a:off x="134969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13</xdr:row>
      <xdr:rowOff>0</xdr:rowOff>
    </xdr:to>
    <xdr:sp>
      <xdr:nvSpPr>
        <xdr:cNvPr id="48" name="Rectangle 74"/>
        <xdr:cNvSpPr>
          <a:spLocks/>
        </xdr:cNvSpPr>
      </xdr:nvSpPr>
      <xdr:spPr>
        <a:xfrm>
          <a:off x="124491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13</xdr:row>
      <xdr:rowOff>0</xdr:rowOff>
    </xdr:to>
    <xdr:sp>
      <xdr:nvSpPr>
        <xdr:cNvPr id="49" name="Rectangle 75"/>
        <xdr:cNvSpPr>
          <a:spLocks/>
        </xdr:cNvSpPr>
      </xdr:nvSpPr>
      <xdr:spPr>
        <a:xfrm>
          <a:off x="105060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13</xdr:row>
      <xdr:rowOff>0</xdr:rowOff>
    </xdr:to>
    <xdr:sp>
      <xdr:nvSpPr>
        <xdr:cNvPr id="50" name="Rectangle 76"/>
        <xdr:cNvSpPr>
          <a:spLocks/>
        </xdr:cNvSpPr>
      </xdr:nvSpPr>
      <xdr:spPr>
        <a:xfrm>
          <a:off x="98298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21</xdr:col>
      <xdr:colOff>0</xdr:colOff>
      <xdr:row>16</xdr:row>
      <xdr:rowOff>0</xdr:rowOff>
    </xdr:to>
    <xdr:sp>
      <xdr:nvSpPr>
        <xdr:cNvPr id="51" name="Rectangle 77"/>
        <xdr:cNvSpPr>
          <a:spLocks/>
        </xdr:cNvSpPr>
      </xdr:nvSpPr>
      <xdr:spPr>
        <a:xfrm>
          <a:off x="1349692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21</xdr:col>
      <xdr:colOff>0</xdr:colOff>
      <xdr:row>19</xdr:row>
      <xdr:rowOff>0</xdr:rowOff>
    </xdr:to>
    <xdr:sp>
      <xdr:nvSpPr>
        <xdr:cNvPr id="52" name="Rectangle 78"/>
        <xdr:cNvSpPr>
          <a:spLocks/>
        </xdr:cNvSpPr>
      </xdr:nvSpPr>
      <xdr:spPr>
        <a:xfrm>
          <a:off x="134969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32</xdr:col>
      <xdr:colOff>0</xdr:colOff>
      <xdr:row>13</xdr:row>
      <xdr:rowOff>0</xdr:rowOff>
    </xdr:to>
    <xdr:sp>
      <xdr:nvSpPr>
        <xdr:cNvPr id="53" name="Rectangle 79"/>
        <xdr:cNvSpPr>
          <a:spLocks/>
        </xdr:cNvSpPr>
      </xdr:nvSpPr>
      <xdr:spPr>
        <a:xfrm>
          <a:off x="215931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13</xdr:row>
      <xdr:rowOff>0</xdr:rowOff>
    </xdr:to>
    <xdr:sp>
      <xdr:nvSpPr>
        <xdr:cNvPr id="54" name="Rectangle 80"/>
        <xdr:cNvSpPr>
          <a:spLocks/>
        </xdr:cNvSpPr>
      </xdr:nvSpPr>
      <xdr:spPr>
        <a:xfrm>
          <a:off x="2054542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28</xdr:col>
      <xdr:colOff>0</xdr:colOff>
      <xdr:row>13</xdr:row>
      <xdr:rowOff>0</xdr:rowOff>
    </xdr:to>
    <xdr:sp>
      <xdr:nvSpPr>
        <xdr:cNvPr id="55" name="Rectangle 81"/>
        <xdr:cNvSpPr>
          <a:spLocks/>
        </xdr:cNvSpPr>
      </xdr:nvSpPr>
      <xdr:spPr>
        <a:xfrm>
          <a:off x="17926050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56" name="Rectangle 82"/>
        <xdr:cNvSpPr>
          <a:spLocks/>
        </xdr:cNvSpPr>
      </xdr:nvSpPr>
      <xdr:spPr>
        <a:xfrm>
          <a:off x="1792605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28</xdr:col>
      <xdr:colOff>0</xdr:colOff>
      <xdr:row>19</xdr:row>
      <xdr:rowOff>0</xdr:rowOff>
    </xdr:to>
    <xdr:sp>
      <xdr:nvSpPr>
        <xdr:cNvPr id="57" name="Rectangle 83"/>
        <xdr:cNvSpPr>
          <a:spLocks/>
        </xdr:cNvSpPr>
      </xdr:nvSpPr>
      <xdr:spPr>
        <a:xfrm>
          <a:off x="1792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0</xdr:rowOff>
    </xdr:to>
    <xdr:sp>
      <xdr:nvSpPr>
        <xdr:cNvPr id="58" name="Rectangle 84"/>
        <xdr:cNvSpPr>
          <a:spLocks/>
        </xdr:cNvSpPr>
      </xdr:nvSpPr>
      <xdr:spPr>
        <a:xfrm>
          <a:off x="2054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29</xdr:col>
      <xdr:colOff>0</xdr:colOff>
      <xdr:row>16</xdr:row>
      <xdr:rowOff>0</xdr:rowOff>
    </xdr:to>
    <xdr:sp>
      <xdr:nvSpPr>
        <xdr:cNvPr id="59" name="Rectangle 85"/>
        <xdr:cNvSpPr>
          <a:spLocks/>
        </xdr:cNvSpPr>
      </xdr:nvSpPr>
      <xdr:spPr>
        <a:xfrm>
          <a:off x="2054542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13</xdr:row>
      <xdr:rowOff>0</xdr:rowOff>
    </xdr:to>
    <xdr:sp>
      <xdr:nvSpPr>
        <xdr:cNvPr id="60" name="Rectangle 86"/>
        <xdr:cNvSpPr>
          <a:spLocks/>
        </xdr:cNvSpPr>
      </xdr:nvSpPr>
      <xdr:spPr>
        <a:xfrm>
          <a:off x="1792605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61" name="Rectangle 87"/>
        <xdr:cNvSpPr>
          <a:spLocks/>
        </xdr:cNvSpPr>
      </xdr:nvSpPr>
      <xdr:spPr>
        <a:xfrm>
          <a:off x="1792605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0</xdr:rowOff>
    </xdr:to>
    <xdr:sp>
      <xdr:nvSpPr>
        <xdr:cNvPr id="62" name="Rectangle 88"/>
        <xdr:cNvSpPr>
          <a:spLocks/>
        </xdr:cNvSpPr>
      </xdr:nvSpPr>
      <xdr:spPr>
        <a:xfrm>
          <a:off x="1792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32</xdr:col>
      <xdr:colOff>0</xdr:colOff>
      <xdr:row>13</xdr:row>
      <xdr:rowOff>0</xdr:rowOff>
    </xdr:to>
    <xdr:sp>
      <xdr:nvSpPr>
        <xdr:cNvPr id="63" name="Rectangle 89"/>
        <xdr:cNvSpPr>
          <a:spLocks/>
        </xdr:cNvSpPr>
      </xdr:nvSpPr>
      <xdr:spPr>
        <a:xfrm>
          <a:off x="2159317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29</xdr:col>
      <xdr:colOff>0</xdr:colOff>
      <xdr:row>13</xdr:row>
      <xdr:rowOff>0</xdr:rowOff>
    </xdr:to>
    <xdr:sp>
      <xdr:nvSpPr>
        <xdr:cNvPr id="64" name="Rectangle 90"/>
        <xdr:cNvSpPr>
          <a:spLocks/>
        </xdr:cNvSpPr>
      </xdr:nvSpPr>
      <xdr:spPr>
        <a:xfrm>
          <a:off x="2054542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28</xdr:col>
      <xdr:colOff>0</xdr:colOff>
      <xdr:row>13</xdr:row>
      <xdr:rowOff>0</xdr:rowOff>
    </xdr:to>
    <xdr:sp>
      <xdr:nvSpPr>
        <xdr:cNvPr id="65" name="Rectangle 91"/>
        <xdr:cNvSpPr>
          <a:spLocks/>
        </xdr:cNvSpPr>
      </xdr:nvSpPr>
      <xdr:spPr>
        <a:xfrm>
          <a:off x="17926050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66" name="Rectangle 92"/>
        <xdr:cNvSpPr>
          <a:spLocks/>
        </xdr:cNvSpPr>
      </xdr:nvSpPr>
      <xdr:spPr>
        <a:xfrm>
          <a:off x="1792605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28</xdr:col>
      <xdr:colOff>0</xdr:colOff>
      <xdr:row>19</xdr:row>
      <xdr:rowOff>0</xdr:rowOff>
    </xdr:to>
    <xdr:sp>
      <xdr:nvSpPr>
        <xdr:cNvPr id="67" name="Rectangle 93"/>
        <xdr:cNvSpPr>
          <a:spLocks/>
        </xdr:cNvSpPr>
      </xdr:nvSpPr>
      <xdr:spPr>
        <a:xfrm>
          <a:off x="1792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0</xdr:rowOff>
    </xdr:to>
    <xdr:sp>
      <xdr:nvSpPr>
        <xdr:cNvPr id="68" name="Rectangle 94"/>
        <xdr:cNvSpPr>
          <a:spLocks/>
        </xdr:cNvSpPr>
      </xdr:nvSpPr>
      <xdr:spPr>
        <a:xfrm>
          <a:off x="2054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29</xdr:col>
      <xdr:colOff>0</xdr:colOff>
      <xdr:row>16</xdr:row>
      <xdr:rowOff>0</xdr:rowOff>
    </xdr:to>
    <xdr:sp>
      <xdr:nvSpPr>
        <xdr:cNvPr id="69" name="Rectangle 95"/>
        <xdr:cNvSpPr>
          <a:spLocks/>
        </xdr:cNvSpPr>
      </xdr:nvSpPr>
      <xdr:spPr>
        <a:xfrm>
          <a:off x="2054542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25</xdr:col>
      <xdr:colOff>0</xdr:colOff>
      <xdr:row>13</xdr:row>
      <xdr:rowOff>0</xdr:rowOff>
    </xdr:to>
    <xdr:sp>
      <xdr:nvSpPr>
        <xdr:cNvPr id="70" name="Rectangle 96"/>
        <xdr:cNvSpPr>
          <a:spLocks/>
        </xdr:cNvSpPr>
      </xdr:nvSpPr>
      <xdr:spPr>
        <a:xfrm>
          <a:off x="17926050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71" name="Rectangle 97"/>
        <xdr:cNvSpPr>
          <a:spLocks/>
        </xdr:cNvSpPr>
      </xdr:nvSpPr>
      <xdr:spPr>
        <a:xfrm>
          <a:off x="1792605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0</xdr:rowOff>
    </xdr:to>
    <xdr:sp>
      <xdr:nvSpPr>
        <xdr:cNvPr id="72" name="Rectangle 98"/>
        <xdr:cNvSpPr>
          <a:spLocks/>
        </xdr:cNvSpPr>
      </xdr:nvSpPr>
      <xdr:spPr>
        <a:xfrm>
          <a:off x="1792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0</xdr:rowOff>
    </xdr:from>
    <xdr:to>
      <xdr:col>32</xdr:col>
      <xdr:colOff>0</xdr:colOff>
      <xdr:row>13</xdr:row>
      <xdr:rowOff>0</xdr:rowOff>
    </xdr:to>
    <xdr:sp>
      <xdr:nvSpPr>
        <xdr:cNvPr id="73" name="Rectangle 99"/>
        <xdr:cNvSpPr>
          <a:spLocks/>
        </xdr:cNvSpPr>
      </xdr:nvSpPr>
      <xdr:spPr>
        <a:xfrm>
          <a:off x="215931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13</xdr:row>
      <xdr:rowOff>0</xdr:rowOff>
    </xdr:to>
    <xdr:sp>
      <xdr:nvSpPr>
        <xdr:cNvPr id="74" name="Rectangle 100"/>
        <xdr:cNvSpPr>
          <a:spLocks/>
        </xdr:cNvSpPr>
      </xdr:nvSpPr>
      <xdr:spPr>
        <a:xfrm>
          <a:off x="2054542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28</xdr:col>
      <xdr:colOff>0</xdr:colOff>
      <xdr:row>13</xdr:row>
      <xdr:rowOff>0</xdr:rowOff>
    </xdr:to>
    <xdr:sp>
      <xdr:nvSpPr>
        <xdr:cNvPr id="75" name="Rectangle 101"/>
        <xdr:cNvSpPr>
          <a:spLocks/>
        </xdr:cNvSpPr>
      </xdr:nvSpPr>
      <xdr:spPr>
        <a:xfrm>
          <a:off x="186023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13</xdr:row>
      <xdr:rowOff>0</xdr:rowOff>
    </xdr:to>
    <xdr:sp>
      <xdr:nvSpPr>
        <xdr:cNvPr id="76" name="Rectangle 102"/>
        <xdr:cNvSpPr>
          <a:spLocks/>
        </xdr:cNvSpPr>
      </xdr:nvSpPr>
      <xdr:spPr>
        <a:xfrm>
          <a:off x="1792605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32</xdr:col>
      <xdr:colOff>0</xdr:colOff>
      <xdr:row>16</xdr:row>
      <xdr:rowOff>0</xdr:rowOff>
    </xdr:to>
    <xdr:sp>
      <xdr:nvSpPr>
        <xdr:cNvPr id="77" name="Rectangle 103"/>
        <xdr:cNvSpPr>
          <a:spLocks/>
        </xdr:cNvSpPr>
      </xdr:nvSpPr>
      <xdr:spPr>
        <a:xfrm>
          <a:off x="2159317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32</xdr:col>
      <xdr:colOff>0</xdr:colOff>
      <xdr:row>19</xdr:row>
      <xdr:rowOff>0</xdr:rowOff>
    </xdr:to>
    <xdr:sp>
      <xdr:nvSpPr>
        <xdr:cNvPr id="78" name="Rectangle 104"/>
        <xdr:cNvSpPr>
          <a:spLocks/>
        </xdr:cNvSpPr>
      </xdr:nvSpPr>
      <xdr:spPr>
        <a:xfrm>
          <a:off x="2159317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43</xdr:col>
      <xdr:colOff>0</xdr:colOff>
      <xdr:row>13</xdr:row>
      <xdr:rowOff>0</xdr:rowOff>
    </xdr:to>
    <xdr:sp>
      <xdr:nvSpPr>
        <xdr:cNvPr id="79" name="Rectangle 105"/>
        <xdr:cNvSpPr>
          <a:spLocks/>
        </xdr:cNvSpPr>
      </xdr:nvSpPr>
      <xdr:spPr>
        <a:xfrm>
          <a:off x="2966085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0</xdr:rowOff>
    </xdr:from>
    <xdr:to>
      <xdr:col>40</xdr:col>
      <xdr:colOff>0</xdr:colOff>
      <xdr:row>13</xdr:row>
      <xdr:rowOff>0</xdr:rowOff>
    </xdr:to>
    <xdr:sp>
      <xdr:nvSpPr>
        <xdr:cNvPr id="80" name="Rectangle 106"/>
        <xdr:cNvSpPr>
          <a:spLocks/>
        </xdr:cNvSpPr>
      </xdr:nvSpPr>
      <xdr:spPr>
        <a:xfrm>
          <a:off x="2861310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39</xdr:col>
      <xdr:colOff>0</xdr:colOff>
      <xdr:row>13</xdr:row>
      <xdr:rowOff>0</xdr:rowOff>
    </xdr:to>
    <xdr:sp>
      <xdr:nvSpPr>
        <xdr:cNvPr id="81" name="Rectangle 107"/>
        <xdr:cNvSpPr>
          <a:spLocks/>
        </xdr:cNvSpPr>
      </xdr:nvSpPr>
      <xdr:spPr>
        <a:xfrm>
          <a:off x="26031825" y="1466850"/>
          <a:ext cx="2581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39</xdr:col>
      <xdr:colOff>0</xdr:colOff>
      <xdr:row>16</xdr:row>
      <xdr:rowOff>0</xdr:rowOff>
    </xdr:to>
    <xdr:sp>
      <xdr:nvSpPr>
        <xdr:cNvPr id="82" name="Rectangle 108"/>
        <xdr:cNvSpPr>
          <a:spLocks/>
        </xdr:cNvSpPr>
      </xdr:nvSpPr>
      <xdr:spPr>
        <a:xfrm>
          <a:off x="26031825" y="2314575"/>
          <a:ext cx="2581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39</xdr:col>
      <xdr:colOff>0</xdr:colOff>
      <xdr:row>19</xdr:row>
      <xdr:rowOff>0</xdr:rowOff>
    </xdr:to>
    <xdr:sp>
      <xdr:nvSpPr>
        <xdr:cNvPr id="83" name="Rectangle 109"/>
        <xdr:cNvSpPr>
          <a:spLocks/>
        </xdr:cNvSpPr>
      </xdr:nvSpPr>
      <xdr:spPr>
        <a:xfrm>
          <a:off x="26031825" y="2819400"/>
          <a:ext cx="2581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40</xdr:col>
      <xdr:colOff>0</xdr:colOff>
      <xdr:row>19</xdr:row>
      <xdr:rowOff>0</xdr:rowOff>
    </xdr:to>
    <xdr:sp>
      <xdr:nvSpPr>
        <xdr:cNvPr id="84" name="Rectangle 110"/>
        <xdr:cNvSpPr>
          <a:spLocks/>
        </xdr:cNvSpPr>
      </xdr:nvSpPr>
      <xdr:spPr>
        <a:xfrm>
          <a:off x="286131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40</xdr:col>
      <xdr:colOff>0</xdr:colOff>
      <xdr:row>16</xdr:row>
      <xdr:rowOff>0</xdr:rowOff>
    </xdr:to>
    <xdr:sp>
      <xdr:nvSpPr>
        <xdr:cNvPr id="85" name="Rectangle 111"/>
        <xdr:cNvSpPr>
          <a:spLocks/>
        </xdr:cNvSpPr>
      </xdr:nvSpPr>
      <xdr:spPr>
        <a:xfrm>
          <a:off x="2861310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36</xdr:col>
      <xdr:colOff>0</xdr:colOff>
      <xdr:row>13</xdr:row>
      <xdr:rowOff>0</xdr:rowOff>
    </xdr:to>
    <xdr:sp>
      <xdr:nvSpPr>
        <xdr:cNvPr id="86" name="Rectangle 112"/>
        <xdr:cNvSpPr>
          <a:spLocks/>
        </xdr:cNvSpPr>
      </xdr:nvSpPr>
      <xdr:spPr>
        <a:xfrm>
          <a:off x="26031825" y="1466850"/>
          <a:ext cx="6477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36</xdr:col>
      <xdr:colOff>0</xdr:colOff>
      <xdr:row>16</xdr:row>
      <xdr:rowOff>0</xdr:rowOff>
    </xdr:to>
    <xdr:sp>
      <xdr:nvSpPr>
        <xdr:cNvPr id="87" name="Rectangle 113"/>
        <xdr:cNvSpPr>
          <a:spLocks/>
        </xdr:cNvSpPr>
      </xdr:nvSpPr>
      <xdr:spPr>
        <a:xfrm>
          <a:off x="26031825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19</xdr:row>
      <xdr:rowOff>0</xdr:rowOff>
    </xdr:to>
    <xdr:sp>
      <xdr:nvSpPr>
        <xdr:cNvPr id="88" name="Rectangle 114"/>
        <xdr:cNvSpPr>
          <a:spLocks/>
        </xdr:cNvSpPr>
      </xdr:nvSpPr>
      <xdr:spPr>
        <a:xfrm>
          <a:off x="2603182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43</xdr:col>
      <xdr:colOff>0</xdr:colOff>
      <xdr:row>13</xdr:row>
      <xdr:rowOff>0</xdr:rowOff>
    </xdr:to>
    <xdr:sp>
      <xdr:nvSpPr>
        <xdr:cNvPr id="89" name="Rectangle 115"/>
        <xdr:cNvSpPr>
          <a:spLocks/>
        </xdr:cNvSpPr>
      </xdr:nvSpPr>
      <xdr:spPr>
        <a:xfrm>
          <a:off x="29660850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0</xdr:rowOff>
    </xdr:from>
    <xdr:to>
      <xdr:col>40</xdr:col>
      <xdr:colOff>0</xdr:colOff>
      <xdr:row>13</xdr:row>
      <xdr:rowOff>0</xdr:rowOff>
    </xdr:to>
    <xdr:sp>
      <xdr:nvSpPr>
        <xdr:cNvPr id="90" name="Rectangle 116"/>
        <xdr:cNvSpPr>
          <a:spLocks/>
        </xdr:cNvSpPr>
      </xdr:nvSpPr>
      <xdr:spPr>
        <a:xfrm>
          <a:off x="28613100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39</xdr:col>
      <xdr:colOff>0</xdr:colOff>
      <xdr:row>13</xdr:row>
      <xdr:rowOff>0</xdr:rowOff>
    </xdr:to>
    <xdr:sp>
      <xdr:nvSpPr>
        <xdr:cNvPr id="91" name="Rectangle 117"/>
        <xdr:cNvSpPr>
          <a:spLocks/>
        </xdr:cNvSpPr>
      </xdr:nvSpPr>
      <xdr:spPr>
        <a:xfrm>
          <a:off x="26031825" y="1638300"/>
          <a:ext cx="2581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39</xdr:col>
      <xdr:colOff>0</xdr:colOff>
      <xdr:row>16</xdr:row>
      <xdr:rowOff>0</xdr:rowOff>
    </xdr:to>
    <xdr:sp>
      <xdr:nvSpPr>
        <xdr:cNvPr id="92" name="Rectangle 118"/>
        <xdr:cNvSpPr>
          <a:spLocks/>
        </xdr:cNvSpPr>
      </xdr:nvSpPr>
      <xdr:spPr>
        <a:xfrm>
          <a:off x="26031825" y="2314575"/>
          <a:ext cx="2581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39</xdr:col>
      <xdr:colOff>0</xdr:colOff>
      <xdr:row>19</xdr:row>
      <xdr:rowOff>0</xdr:rowOff>
    </xdr:to>
    <xdr:sp>
      <xdr:nvSpPr>
        <xdr:cNvPr id="93" name="Rectangle 119"/>
        <xdr:cNvSpPr>
          <a:spLocks/>
        </xdr:cNvSpPr>
      </xdr:nvSpPr>
      <xdr:spPr>
        <a:xfrm>
          <a:off x="26031825" y="2819400"/>
          <a:ext cx="2581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40</xdr:col>
      <xdr:colOff>0</xdr:colOff>
      <xdr:row>19</xdr:row>
      <xdr:rowOff>0</xdr:rowOff>
    </xdr:to>
    <xdr:sp>
      <xdr:nvSpPr>
        <xdr:cNvPr id="94" name="Rectangle 120"/>
        <xdr:cNvSpPr>
          <a:spLocks/>
        </xdr:cNvSpPr>
      </xdr:nvSpPr>
      <xdr:spPr>
        <a:xfrm>
          <a:off x="286131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0</xdr:rowOff>
    </xdr:from>
    <xdr:to>
      <xdr:col>40</xdr:col>
      <xdr:colOff>0</xdr:colOff>
      <xdr:row>16</xdr:row>
      <xdr:rowOff>0</xdr:rowOff>
    </xdr:to>
    <xdr:sp>
      <xdr:nvSpPr>
        <xdr:cNvPr id="95" name="Rectangle 121"/>
        <xdr:cNvSpPr>
          <a:spLocks/>
        </xdr:cNvSpPr>
      </xdr:nvSpPr>
      <xdr:spPr>
        <a:xfrm>
          <a:off x="2861310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13</xdr:row>
      <xdr:rowOff>0</xdr:rowOff>
    </xdr:to>
    <xdr:sp>
      <xdr:nvSpPr>
        <xdr:cNvPr id="96" name="Rectangle 122"/>
        <xdr:cNvSpPr>
          <a:spLocks/>
        </xdr:cNvSpPr>
      </xdr:nvSpPr>
      <xdr:spPr>
        <a:xfrm>
          <a:off x="26031825" y="1638300"/>
          <a:ext cx="6477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36</xdr:col>
      <xdr:colOff>0</xdr:colOff>
      <xdr:row>16</xdr:row>
      <xdr:rowOff>0</xdr:rowOff>
    </xdr:to>
    <xdr:sp>
      <xdr:nvSpPr>
        <xdr:cNvPr id="97" name="Rectangle 123"/>
        <xdr:cNvSpPr>
          <a:spLocks/>
        </xdr:cNvSpPr>
      </xdr:nvSpPr>
      <xdr:spPr>
        <a:xfrm>
          <a:off x="26031825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19</xdr:row>
      <xdr:rowOff>0</xdr:rowOff>
    </xdr:to>
    <xdr:sp>
      <xdr:nvSpPr>
        <xdr:cNvPr id="98" name="Rectangle 124"/>
        <xdr:cNvSpPr>
          <a:spLocks/>
        </xdr:cNvSpPr>
      </xdr:nvSpPr>
      <xdr:spPr>
        <a:xfrm>
          <a:off x="2603182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43</xdr:col>
      <xdr:colOff>0</xdr:colOff>
      <xdr:row>13</xdr:row>
      <xdr:rowOff>0</xdr:rowOff>
    </xdr:to>
    <xdr:sp>
      <xdr:nvSpPr>
        <xdr:cNvPr id="99" name="Rectangle 125"/>
        <xdr:cNvSpPr>
          <a:spLocks/>
        </xdr:cNvSpPr>
      </xdr:nvSpPr>
      <xdr:spPr>
        <a:xfrm>
          <a:off x="2966085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0</xdr:rowOff>
    </xdr:from>
    <xdr:to>
      <xdr:col>40</xdr:col>
      <xdr:colOff>0</xdr:colOff>
      <xdr:row>13</xdr:row>
      <xdr:rowOff>0</xdr:rowOff>
    </xdr:to>
    <xdr:sp>
      <xdr:nvSpPr>
        <xdr:cNvPr id="100" name="Rectangle 126"/>
        <xdr:cNvSpPr>
          <a:spLocks/>
        </xdr:cNvSpPr>
      </xdr:nvSpPr>
      <xdr:spPr>
        <a:xfrm>
          <a:off x="2861310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9</xdr:row>
      <xdr:rowOff>0</xdr:rowOff>
    </xdr:from>
    <xdr:to>
      <xdr:col>39</xdr:col>
      <xdr:colOff>0</xdr:colOff>
      <xdr:row>13</xdr:row>
      <xdr:rowOff>0</xdr:rowOff>
    </xdr:to>
    <xdr:sp>
      <xdr:nvSpPr>
        <xdr:cNvPr id="101" name="Rectangle 127"/>
        <xdr:cNvSpPr>
          <a:spLocks/>
        </xdr:cNvSpPr>
      </xdr:nvSpPr>
      <xdr:spPr>
        <a:xfrm>
          <a:off x="26679525" y="1466850"/>
          <a:ext cx="19335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36</xdr:col>
      <xdr:colOff>0</xdr:colOff>
      <xdr:row>13</xdr:row>
      <xdr:rowOff>0</xdr:rowOff>
    </xdr:to>
    <xdr:sp>
      <xdr:nvSpPr>
        <xdr:cNvPr id="102" name="Rectangle 128"/>
        <xdr:cNvSpPr>
          <a:spLocks/>
        </xdr:cNvSpPr>
      </xdr:nvSpPr>
      <xdr:spPr>
        <a:xfrm>
          <a:off x="26031825" y="1466850"/>
          <a:ext cx="6477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43</xdr:col>
      <xdr:colOff>0</xdr:colOff>
      <xdr:row>16</xdr:row>
      <xdr:rowOff>0</xdr:rowOff>
    </xdr:to>
    <xdr:sp>
      <xdr:nvSpPr>
        <xdr:cNvPr id="103" name="Rectangle 129"/>
        <xdr:cNvSpPr>
          <a:spLocks/>
        </xdr:cNvSpPr>
      </xdr:nvSpPr>
      <xdr:spPr>
        <a:xfrm>
          <a:off x="29660850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43</xdr:col>
      <xdr:colOff>0</xdr:colOff>
      <xdr:row>19</xdr:row>
      <xdr:rowOff>0</xdr:rowOff>
    </xdr:to>
    <xdr:sp>
      <xdr:nvSpPr>
        <xdr:cNvPr id="104" name="Rectangle 130"/>
        <xdr:cNvSpPr>
          <a:spLocks/>
        </xdr:cNvSpPr>
      </xdr:nvSpPr>
      <xdr:spPr>
        <a:xfrm>
          <a:off x="2966085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54</xdr:col>
      <xdr:colOff>0</xdr:colOff>
      <xdr:row>13</xdr:row>
      <xdr:rowOff>0</xdr:rowOff>
    </xdr:to>
    <xdr:sp>
      <xdr:nvSpPr>
        <xdr:cNvPr id="105" name="Rectangle 131"/>
        <xdr:cNvSpPr>
          <a:spLocks/>
        </xdr:cNvSpPr>
      </xdr:nvSpPr>
      <xdr:spPr>
        <a:xfrm>
          <a:off x="377666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51</xdr:col>
      <xdr:colOff>0</xdr:colOff>
      <xdr:row>13</xdr:row>
      <xdr:rowOff>0</xdr:rowOff>
    </xdr:to>
    <xdr:sp>
      <xdr:nvSpPr>
        <xdr:cNvPr id="106" name="Rectangle 132"/>
        <xdr:cNvSpPr>
          <a:spLocks/>
        </xdr:cNvSpPr>
      </xdr:nvSpPr>
      <xdr:spPr>
        <a:xfrm>
          <a:off x="367188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50</xdr:col>
      <xdr:colOff>0</xdr:colOff>
      <xdr:row>13</xdr:row>
      <xdr:rowOff>0</xdr:rowOff>
    </xdr:to>
    <xdr:sp>
      <xdr:nvSpPr>
        <xdr:cNvPr id="107" name="Rectangle 133"/>
        <xdr:cNvSpPr>
          <a:spLocks/>
        </xdr:cNvSpPr>
      </xdr:nvSpPr>
      <xdr:spPr>
        <a:xfrm>
          <a:off x="34099500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108" name="Rectangle 134"/>
        <xdr:cNvSpPr>
          <a:spLocks/>
        </xdr:cNvSpPr>
      </xdr:nvSpPr>
      <xdr:spPr>
        <a:xfrm>
          <a:off x="340995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50</xdr:col>
      <xdr:colOff>0</xdr:colOff>
      <xdr:row>19</xdr:row>
      <xdr:rowOff>0</xdr:rowOff>
    </xdr:to>
    <xdr:sp>
      <xdr:nvSpPr>
        <xdr:cNvPr id="109" name="Rectangle 135"/>
        <xdr:cNvSpPr>
          <a:spLocks/>
        </xdr:cNvSpPr>
      </xdr:nvSpPr>
      <xdr:spPr>
        <a:xfrm>
          <a:off x="340995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51</xdr:col>
      <xdr:colOff>0</xdr:colOff>
      <xdr:row>19</xdr:row>
      <xdr:rowOff>0</xdr:rowOff>
    </xdr:to>
    <xdr:sp>
      <xdr:nvSpPr>
        <xdr:cNvPr id="110" name="Rectangle 136"/>
        <xdr:cNvSpPr>
          <a:spLocks/>
        </xdr:cNvSpPr>
      </xdr:nvSpPr>
      <xdr:spPr>
        <a:xfrm>
          <a:off x="36718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111" name="Rectangle 137"/>
        <xdr:cNvSpPr>
          <a:spLocks/>
        </xdr:cNvSpPr>
      </xdr:nvSpPr>
      <xdr:spPr>
        <a:xfrm>
          <a:off x="367188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47</xdr:col>
      <xdr:colOff>0</xdr:colOff>
      <xdr:row>13</xdr:row>
      <xdr:rowOff>0</xdr:rowOff>
    </xdr:to>
    <xdr:sp>
      <xdr:nvSpPr>
        <xdr:cNvPr id="112" name="Rectangle 138"/>
        <xdr:cNvSpPr>
          <a:spLocks/>
        </xdr:cNvSpPr>
      </xdr:nvSpPr>
      <xdr:spPr>
        <a:xfrm>
          <a:off x="340995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47</xdr:col>
      <xdr:colOff>0</xdr:colOff>
      <xdr:row>16</xdr:row>
      <xdr:rowOff>0</xdr:rowOff>
    </xdr:to>
    <xdr:sp>
      <xdr:nvSpPr>
        <xdr:cNvPr id="113" name="Rectangle 139"/>
        <xdr:cNvSpPr>
          <a:spLocks/>
        </xdr:cNvSpPr>
      </xdr:nvSpPr>
      <xdr:spPr>
        <a:xfrm>
          <a:off x="340995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47</xdr:col>
      <xdr:colOff>0</xdr:colOff>
      <xdr:row>19</xdr:row>
      <xdr:rowOff>0</xdr:rowOff>
    </xdr:to>
    <xdr:sp>
      <xdr:nvSpPr>
        <xdr:cNvPr id="114" name="Rectangle 140"/>
        <xdr:cNvSpPr>
          <a:spLocks/>
        </xdr:cNvSpPr>
      </xdr:nvSpPr>
      <xdr:spPr>
        <a:xfrm>
          <a:off x="340995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0</xdr:rowOff>
    </xdr:from>
    <xdr:to>
      <xdr:col>54</xdr:col>
      <xdr:colOff>0</xdr:colOff>
      <xdr:row>13</xdr:row>
      <xdr:rowOff>0</xdr:rowOff>
    </xdr:to>
    <xdr:sp>
      <xdr:nvSpPr>
        <xdr:cNvPr id="115" name="Rectangle 141"/>
        <xdr:cNvSpPr>
          <a:spLocks/>
        </xdr:cNvSpPr>
      </xdr:nvSpPr>
      <xdr:spPr>
        <a:xfrm>
          <a:off x="3776662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10</xdr:row>
      <xdr:rowOff>0</xdr:rowOff>
    </xdr:from>
    <xdr:to>
      <xdr:col>51</xdr:col>
      <xdr:colOff>0</xdr:colOff>
      <xdr:row>13</xdr:row>
      <xdr:rowOff>0</xdr:rowOff>
    </xdr:to>
    <xdr:sp>
      <xdr:nvSpPr>
        <xdr:cNvPr id="116" name="Rectangle 142"/>
        <xdr:cNvSpPr>
          <a:spLocks/>
        </xdr:cNvSpPr>
      </xdr:nvSpPr>
      <xdr:spPr>
        <a:xfrm>
          <a:off x="3671887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0</xdr:rowOff>
    </xdr:from>
    <xdr:to>
      <xdr:col>50</xdr:col>
      <xdr:colOff>0</xdr:colOff>
      <xdr:row>13</xdr:row>
      <xdr:rowOff>0</xdr:rowOff>
    </xdr:to>
    <xdr:sp>
      <xdr:nvSpPr>
        <xdr:cNvPr id="117" name="Rectangle 143"/>
        <xdr:cNvSpPr>
          <a:spLocks/>
        </xdr:cNvSpPr>
      </xdr:nvSpPr>
      <xdr:spPr>
        <a:xfrm>
          <a:off x="34099500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118" name="Rectangle 144"/>
        <xdr:cNvSpPr>
          <a:spLocks/>
        </xdr:cNvSpPr>
      </xdr:nvSpPr>
      <xdr:spPr>
        <a:xfrm>
          <a:off x="340995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50</xdr:col>
      <xdr:colOff>0</xdr:colOff>
      <xdr:row>19</xdr:row>
      <xdr:rowOff>0</xdr:rowOff>
    </xdr:to>
    <xdr:sp>
      <xdr:nvSpPr>
        <xdr:cNvPr id="119" name="Rectangle 145"/>
        <xdr:cNvSpPr>
          <a:spLocks/>
        </xdr:cNvSpPr>
      </xdr:nvSpPr>
      <xdr:spPr>
        <a:xfrm>
          <a:off x="340995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51</xdr:col>
      <xdr:colOff>0</xdr:colOff>
      <xdr:row>19</xdr:row>
      <xdr:rowOff>0</xdr:rowOff>
    </xdr:to>
    <xdr:sp>
      <xdr:nvSpPr>
        <xdr:cNvPr id="120" name="Rectangle 146"/>
        <xdr:cNvSpPr>
          <a:spLocks/>
        </xdr:cNvSpPr>
      </xdr:nvSpPr>
      <xdr:spPr>
        <a:xfrm>
          <a:off x="36718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121" name="Rectangle 147"/>
        <xdr:cNvSpPr>
          <a:spLocks/>
        </xdr:cNvSpPr>
      </xdr:nvSpPr>
      <xdr:spPr>
        <a:xfrm>
          <a:off x="367188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0</xdr:rowOff>
    </xdr:from>
    <xdr:to>
      <xdr:col>47</xdr:col>
      <xdr:colOff>0</xdr:colOff>
      <xdr:row>13</xdr:row>
      <xdr:rowOff>0</xdr:rowOff>
    </xdr:to>
    <xdr:sp>
      <xdr:nvSpPr>
        <xdr:cNvPr id="122" name="Rectangle 148"/>
        <xdr:cNvSpPr>
          <a:spLocks/>
        </xdr:cNvSpPr>
      </xdr:nvSpPr>
      <xdr:spPr>
        <a:xfrm>
          <a:off x="34099500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47</xdr:col>
      <xdr:colOff>0</xdr:colOff>
      <xdr:row>16</xdr:row>
      <xdr:rowOff>0</xdr:rowOff>
    </xdr:to>
    <xdr:sp>
      <xdr:nvSpPr>
        <xdr:cNvPr id="123" name="Rectangle 149"/>
        <xdr:cNvSpPr>
          <a:spLocks/>
        </xdr:cNvSpPr>
      </xdr:nvSpPr>
      <xdr:spPr>
        <a:xfrm>
          <a:off x="340995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47</xdr:col>
      <xdr:colOff>0</xdr:colOff>
      <xdr:row>19</xdr:row>
      <xdr:rowOff>0</xdr:rowOff>
    </xdr:to>
    <xdr:sp>
      <xdr:nvSpPr>
        <xdr:cNvPr id="124" name="Rectangle 150"/>
        <xdr:cNvSpPr>
          <a:spLocks/>
        </xdr:cNvSpPr>
      </xdr:nvSpPr>
      <xdr:spPr>
        <a:xfrm>
          <a:off x="340995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54</xdr:col>
      <xdr:colOff>0</xdr:colOff>
      <xdr:row>13</xdr:row>
      <xdr:rowOff>0</xdr:rowOff>
    </xdr:to>
    <xdr:sp>
      <xdr:nvSpPr>
        <xdr:cNvPr id="125" name="Rectangle 151"/>
        <xdr:cNvSpPr>
          <a:spLocks/>
        </xdr:cNvSpPr>
      </xdr:nvSpPr>
      <xdr:spPr>
        <a:xfrm>
          <a:off x="377666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51</xdr:col>
      <xdr:colOff>0</xdr:colOff>
      <xdr:row>13</xdr:row>
      <xdr:rowOff>0</xdr:rowOff>
    </xdr:to>
    <xdr:sp>
      <xdr:nvSpPr>
        <xdr:cNvPr id="126" name="Rectangle 152"/>
        <xdr:cNvSpPr>
          <a:spLocks/>
        </xdr:cNvSpPr>
      </xdr:nvSpPr>
      <xdr:spPr>
        <a:xfrm>
          <a:off x="367188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50</xdr:col>
      <xdr:colOff>0</xdr:colOff>
      <xdr:row>13</xdr:row>
      <xdr:rowOff>0</xdr:rowOff>
    </xdr:to>
    <xdr:sp>
      <xdr:nvSpPr>
        <xdr:cNvPr id="127" name="Rectangle 153"/>
        <xdr:cNvSpPr>
          <a:spLocks/>
        </xdr:cNvSpPr>
      </xdr:nvSpPr>
      <xdr:spPr>
        <a:xfrm>
          <a:off x="347757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47</xdr:col>
      <xdr:colOff>0</xdr:colOff>
      <xdr:row>13</xdr:row>
      <xdr:rowOff>0</xdr:rowOff>
    </xdr:to>
    <xdr:sp>
      <xdr:nvSpPr>
        <xdr:cNvPr id="128" name="Rectangle 154"/>
        <xdr:cNvSpPr>
          <a:spLocks/>
        </xdr:cNvSpPr>
      </xdr:nvSpPr>
      <xdr:spPr>
        <a:xfrm>
          <a:off x="340995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14</xdr:row>
      <xdr:rowOff>0</xdr:rowOff>
    </xdr:from>
    <xdr:to>
      <xdr:col>54</xdr:col>
      <xdr:colOff>0</xdr:colOff>
      <xdr:row>16</xdr:row>
      <xdr:rowOff>0</xdr:rowOff>
    </xdr:to>
    <xdr:sp>
      <xdr:nvSpPr>
        <xdr:cNvPr id="129" name="Rectangle 155"/>
        <xdr:cNvSpPr>
          <a:spLocks/>
        </xdr:cNvSpPr>
      </xdr:nvSpPr>
      <xdr:spPr>
        <a:xfrm>
          <a:off x="3776662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54</xdr:col>
      <xdr:colOff>0</xdr:colOff>
      <xdr:row>19</xdr:row>
      <xdr:rowOff>0</xdr:rowOff>
    </xdr:to>
    <xdr:sp>
      <xdr:nvSpPr>
        <xdr:cNvPr id="130" name="Rectangle 156"/>
        <xdr:cNvSpPr>
          <a:spLocks/>
        </xdr:cNvSpPr>
      </xdr:nvSpPr>
      <xdr:spPr>
        <a:xfrm>
          <a:off x="377666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65</xdr:col>
      <xdr:colOff>0</xdr:colOff>
      <xdr:row>13</xdr:row>
      <xdr:rowOff>0</xdr:rowOff>
    </xdr:to>
    <xdr:sp>
      <xdr:nvSpPr>
        <xdr:cNvPr id="131" name="Rectangle 157"/>
        <xdr:cNvSpPr>
          <a:spLocks/>
        </xdr:cNvSpPr>
      </xdr:nvSpPr>
      <xdr:spPr>
        <a:xfrm>
          <a:off x="4587240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62</xdr:col>
      <xdr:colOff>0</xdr:colOff>
      <xdr:row>13</xdr:row>
      <xdr:rowOff>0</xdr:rowOff>
    </xdr:to>
    <xdr:sp>
      <xdr:nvSpPr>
        <xdr:cNvPr id="132" name="Rectangle 158"/>
        <xdr:cNvSpPr>
          <a:spLocks/>
        </xdr:cNvSpPr>
      </xdr:nvSpPr>
      <xdr:spPr>
        <a:xfrm>
          <a:off x="4482465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0</xdr:rowOff>
    </xdr:from>
    <xdr:to>
      <xdr:col>61</xdr:col>
      <xdr:colOff>0</xdr:colOff>
      <xdr:row>13</xdr:row>
      <xdr:rowOff>0</xdr:rowOff>
    </xdr:to>
    <xdr:sp>
      <xdr:nvSpPr>
        <xdr:cNvPr id="133" name="Rectangle 159"/>
        <xdr:cNvSpPr>
          <a:spLocks/>
        </xdr:cNvSpPr>
      </xdr:nvSpPr>
      <xdr:spPr>
        <a:xfrm>
          <a:off x="42205275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14</xdr:row>
      <xdr:rowOff>0</xdr:rowOff>
    </xdr:from>
    <xdr:to>
      <xdr:col>61</xdr:col>
      <xdr:colOff>0</xdr:colOff>
      <xdr:row>16</xdr:row>
      <xdr:rowOff>0</xdr:rowOff>
    </xdr:to>
    <xdr:sp>
      <xdr:nvSpPr>
        <xdr:cNvPr id="134" name="Rectangle 160"/>
        <xdr:cNvSpPr>
          <a:spLocks/>
        </xdr:cNvSpPr>
      </xdr:nvSpPr>
      <xdr:spPr>
        <a:xfrm>
          <a:off x="4220527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61</xdr:col>
      <xdr:colOff>0</xdr:colOff>
      <xdr:row>19</xdr:row>
      <xdr:rowOff>0</xdr:rowOff>
    </xdr:to>
    <xdr:sp>
      <xdr:nvSpPr>
        <xdr:cNvPr id="135" name="Rectangle 161"/>
        <xdr:cNvSpPr>
          <a:spLocks/>
        </xdr:cNvSpPr>
      </xdr:nvSpPr>
      <xdr:spPr>
        <a:xfrm>
          <a:off x="42205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19</xdr:row>
      <xdr:rowOff>0</xdr:rowOff>
    </xdr:to>
    <xdr:sp>
      <xdr:nvSpPr>
        <xdr:cNvPr id="136" name="Rectangle 162"/>
        <xdr:cNvSpPr>
          <a:spLocks/>
        </xdr:cNvSpPr>
      </xdr:nvSpPr>
      <xdr:spPr>
        <a:xfrm>
          <a:off x="44824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137" name="Rectangle 163"/>
        <xdr:cNvSpPr>
          <a:spLocks/>
        </xdr:cNvSpPr>
      </xdr:nvSpPr>
      <xdr:spPr>
        <a:xfrm>
          <a:off x="4482465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0</xdr:rowOff>
    </xdr:from>
    <xdr:to>
      <xdr:col>58</xdr:col>
      <xdr:colOff>0</xdr:colOff>
      <xdr:row>13</xdr:row>
      <xdr:rowOff>0</xdr:rowOff>
    </xdr:to>
    <xdr:sp>
      <xdr:nvSpPr>
        <xdr:cNvPr id="138" name="Rectangle 164"/>
        <xdr:cNvSpPr>
          <a:spLocks/>
        </xdr:cNvSpPr>
      </xdr:nvSpPr>
      <xdr:spPr>
        <a:xfrm>
          <a:off x="4220527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14</xdr:row>
      <xdr:rowOff>0</xdr:rowOff>
    </xdr:from>
    <xdr:to>
      <xdr:col>58</xdr:col>
      <xdr:colOff>0</xdr:colOff>
      <xdr:row>16</xdr:row>
      <xdr:rowOff>0</xdr:rowOff>
    </xdr:to>
    <xdr:sp>
      <xdr:nvSpPr>
        <xdr:cNvPr id="139" name="Rectangle 165"/>
        <xdr:cNvSpPr>
          <a:spLocks/>
        </xdr:cNvSpPr>
      </xdr:nvSpPr>
      <xdr:spPr>
        <a:xfrm>
          <a:off x="4220527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140" name="Rectangle 166"/>
        <xdr:cNvSpPr>
          <a:spLocks/>
        </xdr:cNvSpPr>
      </xdr:nvSpPr>
      <xdr:spPr>
        <a:xfrm>
          <a:off x="42205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65</xdr:col>
      <xdr:colOff>0</xdr:colOff>
      <xdr:row>13</xdr:row>
      <xdr:rowOff>0</xdr:rowOff>
    </xdr:to>
    <xdr:sp>
      <xdr:nvSpPr>
        <xdr:cNvPr id="141" name="Rectangle 167"/>
        <xdr:cNvSpPr>
          <a:spLocks/>
        </xdr:cNvSpPr>
      </xdr:nvSpPr>
      <xdr:spPr>
        <a:xfrm>
          <a:off x="45872400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62</xdr:col>
      <xdr:colOff>0</xdr:colOff>
      <xdr:row>13</xdr:row>
      <xdr:rowOff>0</xdr:rowOff>
    </xdr:to>
    <xdr:sp>
      <xdr:nvSpPr>
        <xdr:cNvPr id="142" name="Rectangle 168"/>
        <xdr:cNvSpPr>
          <a:spLocks/>
        </xdr:cNvSpPr>
      </xdr:nvSpPr>
      <xdr:spPr>
        <a:xfrm>
          <a:off x="44824650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</xdr:row>
      <xdr:rowOff>0</xdr:rowOff>
    </xdr:from>
    <xdr:to>
      <xdr:col>61</xdr:col>
      <xdr:colOff>0</xdr:colOff>
      <xdr:row>13</xdr:row>
      <xdr:rowOff>0</xdr:rowOff>
    </xdr:to>
    <xdr:sp>
      <xdr:nvSpPr>
        <xdr:cNvPr id="143" name="Rectangle 169"/>
        <xdr:cNvSpPr>
          <a:spLocks/>
        </xdr:cNvSpPr>
      </xdr:nvSpPr>
      <xdr:spPr>
        <a:xfrm>
          <a:off x="42205275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14</xdr:row>
      <xdr:rowOff>0</xdr:rowOff>
    </xdr:from>
    <xdr:to>
      <xdr:col>61</xdr:col>
      <xdr:colOff>0</xdr:colOff>
      <xdr:row>16</xdr:row>
      <xdr:rowOff>0</xdr:rowOff>
    </xdr:to>
    <xdr:sp>
      <xdr:nvSpPr>
        <xdr:cNvPr id="144" name="Rectangle 170"/>
        <xdr:cNvSpPr>
          <a:spLocks/>
        </xdr:cNvSpPr>
      </xdr:nvSpPr>
      <xdr:spPr>
        <a:xfrm>
          <a:off x="4220527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61</xdr:col>
      <xdr:colOff>0</xdr:colOff>
      <xdr:row>19</xdr:row>
      <xdr:rowOff>0</xdr:rowOff>
    </xdr:to>
    <xdr:sp>
      <xdr:nvSpPr>
        <xdr:cNvPr id="145" name="Rectangle 171"/>
        <xdr:cNvSpPr>
          <a:spLocks/>
        </xdr:cNvSpPr>
      </xdr:nvSpPr>
      <xdr:spPr>
        <a:xfrm>
          <a:off x="42205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19</xdr:row>
      <xdr:rowOff>0</xdr:rowOff>
    </xdr:to>
    <xdr:sp>
      <xdr:nvSpPr>
        <xdr:cNvPr id="146" name="Rectangle 172"/>
        <xdr:cNvSpPr>
          <a:spLocks/>
        </xdr:cNvSpPr>
      </xdr:nvSpPr>
      <xdr:spPr>
        <a:xfrm>
          <a:off x="44824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147" name="Rectangle 173"/>
        <xdr:cNvSpPr>
          <a:spLocks/>
        </xdr:cNvSpPr>
      </xdr:nvSpPr>
      <xdr:spPr>
        <a:xfrm>
          <a:off x="4482465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</xdr:row>
      <xdr:rowOff>0</xdr:rowOff>
    </xdr:from>
    <xdr:to>
      <xdr:col>58</xdr:col>
      <xdr:colOff>0</xdr:colOff>
      <xdr:row>13</xdr:row>
      <xdr:rowOff>0</xdr:rowOff>
    </xdr:to>
    <xdr:sp>
      <xdr:nvSpPr>
        <xdr:cNvPr id="148" name="Rectangle 174"/>
        <xdr:cNvSpPr>
          <a:spLocks/>
        </xdr:cNvSpPr>
      </xdr:nvSpPr>
      <xdr:spPr>
        <a:xfrm>
          <a:off x="42205275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14</xdr:row>
      <xdr:rowOff>0</xdr:rowOff>
    </xdr:from>
    <xdr:to>
      <xdr:col>58</xdr:col>
      <xdr:colOff>0</xdr:colOff>
      <xdr:row>16</xdr:row>
      <xdr:rowOff>0</xdr:rowOff>
    </xdr:to>
    <xdr:sp>
      <xdr:nvSpPr>
        <xdr:cNvPr id="149" name="Rectangle 175"/>
        <xdr:cNvSpPr>
          <a:spLocks/>
        </xdr:cNvSpPr>
      </xdr:nvSpPr>
      <xdr:spPr>
        <a:xfrm>
          <a:off x="4220527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150" name="Rectangle 176"/>
        <xdr:cNvSpPr>
          <a:spLocks/>
        </xdr:cNvSpPr>
      </xdr:nvSpPr>
      <xdr:spPr>
        <a:xfrm>
          <a:off x="42205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65</xdr:col>
      <xdr:colOff>0</xdr:colOff>
      <xdr:row>13</xdr:row>
      <xdr:rowOff>0</xdr:rowOff>
    </xdr:to>
    <xdr:sp>
      <xdr:nvSpPr>
        <xdr:cNvPr id="151" name="Rectangle 177"/>
        <xdr:cNvSpPr>
          <a:spLocks/>
        </xdr:cNvSpPr>
      </xdr:nvSpPr>
      <xdr:spPr>
        <a:xfrm>
          <a:off x="4587240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62</xdr:col>
      <xdr:colOff>0</xdr:colOff>
      <xdr:row>13</xdr:row>
      <xdr:rowOff>0</xdr:rowOff>
    </xdr:to>
    <xdr:sp>
      <xdr:nvSpPr>
        <xdr:cNvPr id="152" name="Rectangle 178"/>
        <xdr:cNvSpPr>
          <a:spLocks/>
        </xdr:cNvSpPr>
      </xdr:nvSpPr>
      <xdr:spPr>
        <a:xfrm>
          <a:off x="4482465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9</xdr:row>
      <xdr:rowOff>0</xdr:rowOff>
    </xdr:from>
    <xdr:to>
      <xdr:col>61</xdr:col>
      <xdr:colOff>0</xdr:colOff>
      <xdr:row>13</xdr:row>
      <xdr:rowOff>0</xdr:rowOff>
    </xdr:to>
    <xdr:sp>
      <xdr:nvSpPr>
        <xdr:cNvPr id="153" name="Rectangle 179"/>
        <xdr:cNvSpPr>
          <a:spLocks/>
        </xdr:cNvSpPr>
      </xdr:nvSpPr>
      <xdr:spPr>
        <a:xfrm>
          <a:off x="4288155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0</xdr:rowOff>
    </xdr:from>
    <xdr:to>
      <xdr:col>58</xdr:col>
      <xdr:colOff>0</xdr:colOff>
      <xdr:row>13</xdr:row>
      <xdr:rowOff>0</xdr:rowOff>
    </xdr:to>
    <xdr:sp>
      <xdr:nvSpPr>
        <xdr:cNvPr id="154" name="Rectangle 180"/>
        <xdr:cNvSpPr>
          <a:spLocks/>
        </xdr:cNvSpPr>
      </xdr:nvSpPr>
      <xdr:spPr>
        <a:xfrm>
          <a:off x="4220527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65</xdr:col>
      <xdr:colOff>0</xdr:colOff>
      <xdr:row>16</xdr:row>
      <xdr:rowOff>0</xdr:rowOff>
    </xdr:to>
    <xdr:sp>
      <xdr:nvSpPr>
        <xdr:cNvPr id="155" name="Rectangle 181"/>
        <xdr:cNvSpPr>
          <a:spLocks/>
        </xdr:cNvSpPr>
      </xdr:nvSpPr>
      <xdr:spPr>
        <a:xfrm>
          <a:off x="45872400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0</xdr:rowOff>
    </xdr:from>
    <xdr:to>
      <xdr:col>65</xdr:col>
      <xdr:colOff>0</xdr:colOff>
      <xdr:row>19</xdr:row>
      <xdr:rowOff>0</xdr:rowOff>
    </xdr:to>
    <xdr:sp>
      <xdr:nvSpPr>
        <xdr:cNvPr id="156" name="Rectangle 182"/>
        <xdr:cNvSpPr>
          <a:spLocks/>
        </xdr:cNvSpPr>
      </xdr:nvSpPr>
      <xdr:spPr>
        <a:xfrm>
          <a:off x="4587240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76</xdr:col>
      <xdr:colOff>0</xdr:colOff>
      <xdr:row>13</xdr:row>
      <xdr:rowOff>0</xdr:rowOff>
    </xdr:to>
    <xdr:sp>
      <xdr:nvSpPr>
        <xdr:cNvPr id="157" name="Rectangle 183"/>
        <xdr:cNvSpPr>
          <a:spLocks/>
        </xdr:cNvSpPr>
      </xdr:nvSpPr>
      <xdr:spPr>
        <a:xfrm>
          <a:off x="5396865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9</xdr:row>
      <xdr:rowOff>0</xdr:rowOff>
    </xdr:from>
    <xdr:to>
      <xdr:col>73</xdr:col>
      <xdr:colOff>0</xdr:colOff>
      <xdr:row>13</xdr:row>
      <xdr:rowOff>0</xdr:rowOff>
    </xdr:to>
    <xdr:sp>
      <xdr:nvSpPr>
        <xdr:cNvPr id="158" name="Rectangle 184"/>
        <xdr:cNvSpPr>
          <a:spLocks/>
        </xdr:cNvSpPr>
      </xdr:nvSpPr>
      <xdr:spPr>
        <a:xfrm>
          <a:off x="5292090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</xdr:row>
      <xdr:rowOff>0</xdr:rowOff>
    </xdr:from>
    <xdr:to>
      <xdr:col>72</xdr:col>
      <xdr:colOff>0</xdr:colOff>
      <xdr:row>13</xdr:row>
      <xdr:rowOff>0</xdr:rowOff>
    </xdr:to>
    <xdr:sp>
      <xdr:nvSpPr>
        <xdr:cNvPr id="159" name="Rectangle 185"/>
        <xdr:cNvSpPr>
          <a:spLocks/>
        </xdr:cNvSpPr>
      </xdr:nvSpPr>
      <xdr:spPr>
        <a:xfrm>
          <a:off x="50301525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72</xdr:col>
      <xdr:colOff>0</xdr:colOff>
      <xdr:row>16</xdr:row>
      <xdr:rowOff>0</xdr:rowOff>
    </xdr:to>
    <xdr:sp>
      <xdr:nvSpPr>
        <xdr:cNvPr id="160" name="Rectangle 186"/>
        <xdr:cNvSpPr>
          <a:spLocks/>
        </xdr:cNvSpPr>
      </xdr:nvSpPr>
      <xdr:spPr>
        <a:xfrm>
          <a:off x="5030152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72</xdr:col>
      <xdr:colOff>0</xdr:colOff>
      <xdr:row>19</xdr:row>
      <xdr:rowOff>0</xdr:rowOff>
    </xdr:to>
    <xdr:sp>
      <xdr:nvSpPr>
        <xdr:cNvPr id="161" name="Rectangle 187"/>
        <xdr:cNvSpPr>
          <a:spLocks/>
        </xdr:cNvSpPr>
      </xdr:nvSpPr>
      <xdr:spPr>
        <a:xfrm>
          <a:off x="5030152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17</xdr:row>
      <xdr:rowOff>0</xdr:rowOff>
    </xdr:from>
    <xdr:to>
      <xdr:col>73</xdr:col>
      <xdr:colOff>0</xdr:colOff>
      <xdr:row>19</xdr:row>
      <xdr:rowOff>0</xdr:rowOff>
    </xdr:to>
    <xdr:sp>
      <xdr:nvSpPr>
        <xdr:cNvPr id="162" name="Rectangle 188"/>
        <xdr:cNvSpPr>
          <a:spLocks/>
        </xdr:cNvSpPr>
      </xdr:nvSpPr>
      <xdr:spPr>
        <a:xfrm>
          <a:off x="529209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14</xdr:row>
      <xdr:rowOff>0</xdr:rowOff>
    </xdr:from>
    <xdr:to>
      <xdr:col>73</xdr:col>
      <xdr:colOff>0</xdr:colOff>
      <xdr:row>16</xdr:row>
      <xdr:rowOff>0</xdr:rowOff>
    </xdr:to>
    <xdr:sp>
      <xdr:nvSpPr>
        <xdr:cNvPr id="163" name="Rectangle 189"/>
        <xdr:cNvSpPr>
          <a:spLocks/>
        </xdr:cNvSpPr>
      </xdr:nvSpPr>
      <xdr:spPr>
        <a:xfrm>
          <a:off x="5292090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</xdr:row>
      <xdr:rowOff>0</xdr:rowOff>
    </xdr:from>
    <xdr:to>
      <xdr:col>69</xdr:col>
      <xdr:colOff>0</xdr:colOff>
      <xdr:row>13</xdr:row>
      <xdr:rowOff>0</xdr:rowOff>
    </xdr:to>
    <xdr:sp>
      <xdr:nvSpPr>
        <xdr:cNvPr id="164" name="Rectangle 190"/>
        <xdr:cNvSpPr>
          <a:spLocks/>
        </xdr:cNvSpPr>
      </xdr:nvSpPr>
      <xdr:spPr>
        <a:xfrm>
          <a:off x="5030152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69</xdr:col>
      <xdr:colOff>0</xdr:colOff>
      <xdr:row>16</xdr:row>
      <xdr:rowOff>0</xdr:rowOff>
    </xdr:to>
    <xdr:sp>
      <xdr:nvSpPr>
        <xdr:cNvPr id="165" name="Rectangle 191"/>
        <xdr:cNvSpPr>
          <a:spLocks/>
        </xdr:cNvSpPr>
      </xdr:nvSpPr>
      <xdr:spPr>
        <a:xfrm>
          <a:off x="5030152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69</xdr:col>
      <xdr:colOff>0</xdr:colOff>
      <xdr:row>19</xdr:row>
      <xdr:rowOff>0</xdr:rowOff>
    </xdr:to>
    <xdr:sp>
      <xdr:nvSpPr>
        <xdr:cNvPr id="166" name="Rectangle 192"/>
        <xdr:cNvSpPr>
          <a:spLocks/>
        </xdr:cNvSpPr>
      </xdr:nvSpPr>
      <xdr:spPr>
        <a:xfrm>
          <a:off x="5030152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10</xdr:row>
      <xdr:rowOff>0</xdr:rowOff>
    </xdr:from>
    <xdr:to>
      <xdr:col>76</xdr:col>
      <xdr:colOff>0</xdr:colOff>
      <xdr:row>13</xdr:row>
      <xdr:rowOff>0</xdr:rowOff>
    </xdr:to>
    <xdr:sp>
      <xdr:nvSpPr>
        <xdr:cNvPr id="167" name="Rectangle 193"/>
        <xdr:cNvSpPr>
          <a:spLocks/>
        </xdr:cNvSpPr>
      </xdr:nvSpPr>
      <xdr:spPr>
        <a:xfrm>
          <a:off x="53968650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10</xdr:row>
      <xdr:rowOff>0</xdr:rowOff>
    </xdr:from>
    <xdr:to>
      <xdr:col>73</xdr:col>
      <xdr:colOff>0</xdr:colOff>
      <xdr:row>13</xdr:row>
      <xdr:rowOff>0</xdr:rowOff>
    </xdr:to>
    <xdr:sp>
      <xdr:nvSpPr>
        <xdr:cNvPr id="168" name="Rectangle 194"/>
        <xdr:cNvSpPr>
          <a:spLocks/>
        </xdr:cNvSpPr>
      </xdr:nvSpPr>
      <xdr:spPr>
        <a:xfrm>
          <a:off x="52920900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72</xdr:col>
      <xdr:colOff>0</xdr:colOff>
      <xdr:row>13</xdr:row>
      <xdr:rowOff>0</xdr:rowOff>
    </xdr:to>
    <xdr:sp>
      <xdr:nvSpPr>
        <xdr:cNvPr id="169" name="Rectangle 195"/>
        <xdr:cNvSpPr>
          <a:spLocks/>
        </xdr:cNvSpPr>
      </xdr:nvSpPr>
      <xdr:spPr>
        <a:xfrm>
          <a:off x="50301525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72</xdr:col>
      <xdr:colOff>0</xdr:colOff>
      <xdr:row>16</xdr:row>
      <xdr:rowOff>0</xdr:rowOff>
    </xdr:to>
    <xdr:sp>
      <xdr:nvSpPr>
        <xdr:cNvPr id="170" name="Rectangle 196"/>
        <xdr:cNvSpPr>
          <a:spLocks/>
        </xdr:cNvSpPr>
      </xdr:nvSpPr>
      <xdr:spPr>
        <a:xfrm>
          <a:off x="5030152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72</xdr:col>
      <xdr:colOff>0</xdr:colOff>
      <xdr:row>19</xdr:row>
      <xdr:rowOff>0</xdr:rowOff>
    </xdr:to>
    <xdr:sp>
      <xdr:nvSpPr>
        <xdr:cNvPr id="171" name="Rectangle 197"/>
        <xdr:cNvSpPr>
          <a:spLocks/>
        </xdr:cNvSpPr>
      </xdr:nvSpPr>
      <xdr:spPr>
        <a:xfrm>
          <a:off x="5030152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17</xdr:row>
      <xdr:rowOff>0</xdr:rowOff>
    </xdr:from>
    <xdr:to>
      <xdr:col>73</xdr:col>
      <xdr:colOff>0</xdr:colOff>
      <xdr:row>19</xdr:row>
      <xdr:rowOff>0</xdr:rowOff>
    </xdr:to>
    <xdr:sp>
      <xdr:nvSpPr>
        <xdr:cNvPr id="172" name="Rectangle 198"/>
        <xdr:cNvSpPr>
          <a:spLocks/>
        </xdr:cNvSpPr>
      </xdr:nvSpPr>
      <xdr:spPr>
        <a:xfrm>
          <a:off x="529209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14</xdr:row>
      <xdr:rowOff>0</xdr:rowOff>
    </xdr:from>
    <xdr:to>
      <xdr:col>73</xdr:col>
      <xdr:colOff>0</xdr:colOff>
      <xdr:row>16</xdr:row>
      <xdr:rowOff>0</xdr:rowOff>
    </xdr:to>
    <xdr:sp>
      <xdr:nvSpPr>
        <xdr:cNvPr id="173" name="Rectangle 199"/>
        <xdr:cNvSpPr>
          <a:spLocks/>
        </xdr:cNvSpPr>
      </xdr:nvSpPr>
      <xdr:spPr>
        <a:xfrm>
          <a:off x="5292090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69</xdr:col>
      <xdr:colOff>0</xdr:colOff>
      <xdr:row>13</xdr:row>
      <xdr:rowOff>0</xdr:rowOff>
    </xdr:to>
    <xdr:sp>
      <xdr:nvSpPr>
        <xdr:cNvPr id="174" name="Rectangle 200"/>
        <xdr:cNvSpPr>
          <a:spLocks/>
        </xdr:cNvSpPr>
      </xdr:nvSpPr>
      <xdr:spPr>
        <a:xfrm>
          <a:off x="50301525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69</xdr:col>
      <xdr:colOff>0</xdr:colOff>
      <xdr:row>16</xdr:row>
      <xdr:rowOff>0</xdr:rowOff>
    </xdr:to>
    <xdr:sp>
      <xdr:nvSpPr>
        <xdr:cNvPr id="175" name="Rectangle 201"/>
        <xdr:cNvSpPr>
          <a:spLocks/>
        </xdr:cNvSpPr>
      </xdr:nvSpPr>
      <xdr:spPr>
        <a:xfrm>
          <a:off x="5030152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69</xdr:col>
      <xdr:colOff>0</xdr:colOff>
      <xdr:row>19</xdr:row>
      <xdr:rowOff>0</xdr:rowOff>
    </xdr:to>
    <xdr:sp>
      <xdr:nvSpPr>
        <xdr:cNvPr id="176" name="Rectangle 202"/>
        <xdr:cNvSpPr>
          <a:spLocks/>
        </xdr:cNvSpPr>
      </xdr:nvSpPr>
      <xdr:spPr>
        <a:xfrm>
          <a:off x="5030152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9</xdr:row>
      <xdr:rowOff>0</xdr:rowOff>
    </xdr:from>
    <xdr:to>
      <xdr:col>76</xdr:col>
      <xdr:colOff>0</xdr:colOff>
      <xdr:row>13</xdr:row>
      <xdr:rowOff>0</xdr:rowOff>
    </xdr:to>
    <xdr:sp>
      <xdr:nvSpPr>
        <xdr:cNvPr id="177" name="Rectangle 203"/>
        <xdr:cNvSpPr>
          <a:spLocks/>
        </xdr:cNvSpPr>
      </xdr:nvSpPr>
      <xdr:spPr>
        <a:xfrm>
          <a:off x="5396865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9</xdr:row>
      <xdr:rowOff>0</xdr:rowOff>
    </xdr:from>
    <xdr:to>
      <xdr:col>73</xdr:col>
      <xdr:colOff>0</xdr:colOff>
      <xdr:row>13</xdr:row>
      <xdr:rowOff>0</xdr:rowOff>
    </xdr:to>
    <xdr:sp>
      <xdr:nvSpPr>
        <xdr:cNvPr id="178" name="Rectangle 204"/>
        <xdr:cNvSpPr>
          <a:spLocks/>
        </xdr:cNvSpPr>
      </xdr:nvSpPr>
      <xdr:spPr>
        <a:xfrm>
          <a:off x="5292090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9</xdr:row>
      <xdr:rowOff>0</xdr:rowOff>
    </xdr:from>
    <xdr:to>
      <xdr:col>72</xdr:col>
      <xdr:colOff>0</xdr:colOff>
      <xdr:row>13</xdr:row>
      <xdr:rowOff>0</xdr:rowOff>
    </xdr:to>
    <xdr:sp>
      <xdr:nvSpPr>
        <xdr:cNvPr id="179" name="Rectangle 205"/>
        <xdr:cNvSpPr>
          <a:spLocks/>
        </xdr:cNvSpPr>
      </xdr:nvSpPr>
      <xdr:spPr>
        <a:xfrm>
          <a:off x="5097780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9</xdr:row>
      <xdr:rowOff>0</xdr:rowOff>
    </xdr:from>
    <xdr:to>
      <xdr:col>69</xdr:col>
      <xdr:colOff>0</xdr:colOff>
      <xdr:row>13</xdr:row>
      <xdr:rowOff>0</xdr:rowOff>
    </xdr:to>
    <xdr:sp>
      <xdr:nvSpPr>
        <xdr:cNvPr id="180" name="Rectangle 206"/>
        <xdr:cNvSpPr>
          <a:spLocks/>
        </xdr:cNvSpPr>
      </xdr:nvSpPr>
      <xdr:spPr>
        <a:xfrm>
          <a:off x="5030152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14</xdr:row>
      <xdr:rowOff>0</xdr:rowOff>
    </xdr:from>
    <xdr:to>
      <xdr:col>76</xdr:col>
      <xdr:colOff>0</xdr:colOff>
      <xdr:row>16</xdr:row>
      <xdr:rowOff>0</xdr:rowOff>
    </xdr:to>
    <xdr:sp>
      <xdr:nvSpPr>
        <xdr:cNvPr id="181" name="Rectangle 207"/>
        <xdr:cNvSpPr>
          <a:spLocks/>
        </xdr:cNvSpPr>
      </xdr:nvSpPr>
      <xdr:spPr>
        <a:xfrm>
          <a:off x="53968650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0</xdr:rowOff>
    </xdr:from>
    <xdr:to>
      <xdr:col>76</xdr:col>
      <xdr:colOff>0</xdr:colOff>
      <xdr:row>19</xdr:row>
      <xdr:rowOff>0</xdr:rowOff>
    </xdr:to>
    <xdr:sp>
      <xdr:nvSpPr>
        <xdr:cNvPr id="182" name="Rectangle 208"/>
        <xdr:cNvSpPr>
          <a:spLocks/>
        </xdr:cNvSpPr>
      </xdr:nvSpPr>
      <xdr:spPr>
        <a:xfrm>
          <a:off x="5396865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9</xdr:row>
      <xdr:rowOff>0</xdr:rowOff>
    </xdr:from>
    <xdr:to>
      <xdr:col>87</xdr:col>
      <xdr:colOff>0</xdr:colOff>
      <xdr:row>13</xdr:row>
      <xdr:rowOff>0</xdr:rowOff>
    </xdr:to>
    <xdr:sp>
      <xdr:nvSpPr>
        <xdr:cNvPr id="183" name="Rectangle 209"/>
        <xdr:cNvSpPr>
          <a:spLocks/>
        </xdr:cNvSpPr>
      </xdr:nvSpPr>
      <xdr:spPr>
        <a:xfrm>
          <a:off x="620744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9</xdr:row>
      <xdr:rowOff>0</xdr:rowOff>
    </xdr:from>
    <xdr:to>
      <xdr:col>84</xdr:col>
      <xdr:colOff>0</xdr:colOff>
      <xdr:row>13</xdr:row>
      <xdr:rowOff>0</xdr:rowOff>
    </xdr:to>
    <xdr:sp>
      <xdr:nvSpPr>
        <xdr:cNvPr id="184" name="Rectangle 210"/>
        <xdr:cNvSpPr>
          <a:spLocks/>
        </xdr:cNvSpPr>
      </xdr:nvSpPr>
      <xdr:spPr>
        <a:xfrm>
          <a:off x="610266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0</xdr:rowOff>
    </xdr:from>
    <xdr:to>
      <xdr:col>83</xdr:col>
      <xdr:colOff>0</xdr:colOff>
      <xdr:row>13</xdr:row>
      <xdr:rowOff>0</xdr:rowOff>
    </xdr:to>
    <xdr:sp>
      <xdr:nvSpPr>
        <xdr:cNvPr id="185" name="Rectangle 211"/>
        <xdr:cNvSpPr>
          <a:spLocks/>
        </xdr:cNvSpPr>
      </xdr:nvSpPr>
      <xdr:spPr>
        <a:xfrm>
          <a:off x="58407300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83</xdr:col>
      <xdr:colOff>0</xdr:colOff>
      <xdr:row>16</xdr:row>
      <xdr:rowOff>0</xdr:rowOff>
    </xdr:to>
    <xdr:sp>
      <xdr:nvSpPr>
        <xdr:cNvPr id="186" name="Rectangle 212"/>
        <xdr:cNvSpPr>
          <a:spLocks/>
        </xdr:cNvSpPr>
      </xdr:nvSpPr>
      <xdr:spPr>
        <a:xfrm>
          <a:off x="584073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83</xdr:col>
      <xdr:colOff>0</xdr:colOff>
      <xdr:row>19</xdr:row>
      <xdr:rowOff>0</xdr:rowOff>
    </xdr:to>
    <xdr:sp>
      <xdr:nvSpPr>
        <xdr:cNvPr id="187" name="Rectangle 213"/>
        <xdr:cNvSpPr>
          <a:spLocks/>
        </xdr:cNvSpPr>
      </xdr:nvSpPr>
      <xdr:spPr>
        <a:xfrm>
          <a:off x="58407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17</xdr:row>
      <xdr:rowOff>0</xdr:rowOff>
    </xdr:from>
    <xdr:to>
      <xdr:col>84</xdr:col>
      <xdr:colOff>0</xdr:colOff>
      <xdr:row>19</xdr:row>
      <xdr:rowOff>0</xdr:rowOff>
    </xdr:to>
    <xdr:sp>
      <xdr:nvSpPr>
        <xdr:cNvPr id="188" name="Rectangle 214"/>
        <xdr:cNvSpPr>
          <a:spLocks/>
        </xdr:cNvSpPr>
      </xdr:nvSpPr>
      <xdr:spPr>
        <a:xfrm>
          <a:off x="61026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14</xdr:row>
      <xdr:rowOff>0</xdr:rowOff>
    </xdr:from>
    <xdr:to>
      <xdr:col>84</xdr:col>
      <xdr:colOff>0</xdr:colOff>
      <xdr:row>16</xdr:row>
      <xdr:rowOff>0</xdr:rowOff>
    </xdr:to>
    <xdr:sp>
      <xdr:nvSpPr>
        <xdr:cNvPr id="189" name="Rectangle 215"/>
        <xdr:cNvSpPr>
          <a:spLocks/>
        </xdr:cNvSpPr>
      </xdr:nvSpPr>
      <xdr:spPr>
        <a:xfrm>
          <a:off x="610266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0</xdr:rowOff>
    </xdr:from>
    <xdr:to>
      <xdr:col>80</xdr:col>
      <xdr:colOff>0</xdr:colOff>
      <xdr:row>13</xdr:row>
      <xdr:rowOff>0</xdr:rowOff>
    </xdr:to>
    <xdr:sp>
      <xdr:nvSpPr>
        <xdr:cNvPr id="190" name="Rectangle 216"/>
        <xdr:cNvSpPr>
          <a:spLocks/>
        </xdr:cNvSpPr>
      </xdr:nvSpPr>
      <xdr:spPr>
        <a:xfrm>
          <a:off x="584073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80</xdr:col>
      <xdr:colOff>0</xdr:colOff>
      <xdr:row>16</xdr:row>
      <xdr:rowOff>0</xdr:rowOff>
    </xdr:to>
    <xdr:sp>
      <xdr:nvSpPr>
        <xdr:cNvPr id="191" name="Rectangle 217"/>
        <xdr:cNvSpPr>
          <a:spLocks/>
        </xdr:cNvSpPr>
      </xdr:nvSpPr>
      <xdr:spPr>
        <a:xfrm>
          <a:off x="584073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80</xdr:col>
      <xdr:colOff>0</xdr:colOff>
      <xdr:row>19</xdr:row>
      <xdr:rowOff>0</xdr:rowOff>
    </xdr:to>
    <xdr:sp>
      <xdr:nvSpPr>
        <xdr:cNvPr id="192" name="Rectangle 218"/>
        <xdr:cNvSpPr>
          <a:spLocks/>
        </xdr:cNvSpPr>
      </xdr:nvSpPr>
      <xdr:spPr>
        <a:xfrm>
          <a:off x="58407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10</xdr:row>
      <xdr:rowOff>0</xdr:rowOff>
    </xdr:from>
    <xdr:to>
      <xdr:col>87</xdr:col>
      <xdr:colOff>0</xdr:colOff>
      <xdr:row>13</xdr:row>
      <xdr:rowOff>0</xdr:rowOff>
    </xdr:to>
    <xdr:sp>
      <xdr:nvSpPr>
        <xdr:cNvPr id="193" name="Rectangle 219"/>
        <xdr:cNvSpPr>
          <a:spLocks/>
        </xdr:cNvSpPr>
      </xdr:nvSpPr>
      <xdr:spPr>
        <a:xfrm>
          <a:off x="6207442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10</xdr:row>
      <xdr:rowOff>0</xdr:rowOff>
    </xdr:from>
    <xdr:to>
      <xdr:col>84</xdr:col>
      <xdr:colOff>0</xdr:colOff>
      <xdr:row>13</xdr:row>
      <xdr:rowOff>0</xdr:rowOff>
    </xdr:to>
    <xdr:sp>
      <xdr:nvSpPr>
        <xdr:cNvPr id="194" name="Rectangle 220"/>
        <xdr:cNvSpPr>
          <a:spLocks/>
        </xdr:cNvSpPr>
      </xdr:nvSpPr>
      <xdr:spPr>
        <a:xfrm>
          <a:off x="6102667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10</xdr:row>
      <xdr:rowOff>0</xdr:rowOff>
    </xdr:from>
    <xdr:to>
      <xdr:col>83</xdr:col>
      <xdr:colOff>0</xdr:colOff>
      <xdr:row>13</xdr:row>
      <xdr:rowOff>0</xdr:rowOff>
    </xdr:to>
    <xdr:sp>
      <xdr:nvSpPr>
        <xdr:cNvPr id="195" name="Rectangle 221"/>
        <xdr:cNvSpPr>
          <a:spLocks/>
        </xdr:cNvSpPr>
      </xdr:nvSpPr>
      <xdr:spPr>
        <a:xfrm>
          <a:off x="58407300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83</xdr:col>
      <xdr:colOff>0</xdr:colOff>
      <xdr:row>16</xdr:row>
      <xdr:rowOff>0</xdr:rowOff>
    </xdr:to>
    <xdr:sp>
      <xdr:nvSpPr>
        <xdr:cNvPr id="196" name="Rectangle 222"/>
        <xdr:cNvSpPr>
          <a:spLocks/>
        </xdr:cNvSpPr>
      </xdr:nvSpPr>
      <xdr:spPr>
        <a:xfrm>
          <a:off x="584073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83</xdr:col>
      <xdr:colOff>0</xdr:colOff>
      <xdr:row>19</xdr:row>
      <xdr:rowOff>0</xdr:rowOff>
    </xdr:to>
    <xdr:sp>
      <xdr:nvSpPr>
        <xdr:cNvPr id="197" name="Rectangle 223"/>
        <xdr:cNvSpPr>
          <a:spLocks/>
        </xdr:cNvSpPr>
      </xdr:nvSpPr>
      <xdr:spPr>
        <a:xfrm>
          <a:off x="58407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17</xdr:row>
      <xdr:rowOff>0</xdr:rowOff>
    </xdr:from>
    <xdr:to>
      <xdr:col>84</xdr:col>
      <xdr:colOff>0</xdr:colOff>
      <xdr:row>19</xdr:row>
      <xdr:rowOff>0</xdr:rowOff>
    </xdr:to>
    <xdr:sp>
      <xdr:nvSpPr>
        <xdr:cNvPr id="198" name="Rectangle 224"/>
        <xdr:cNvSpPr>
          <a:spLocks/>
        </xdr:cNvSpPr>
      </xdr:nvSpPr>
      <xdr:spPr>
        <a:xfrm>
          <a:off x="61026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14</xdr:row>
      <xdr:rowOff>0</xdr:rowOff>
    </xdr:from>
    <xdr:to>
      <xdr:col>84</xdr:col>
      <xdr:colOff>0</xdr:colOff>
      <xdr:row>16</xdr:row>
      <xdr:rowOff>0</xdr:rowOff>
    </xdr:to>
    <xdr:sp>
      <xdr:nvSpPr>
        <xdr:cNvPr id="199" name="Rectangle 225"/>
        <xdr:cNvSpPr>
          <a:spLocks/>
        </xdr:cNvSpPr>
      </xdr:nvSpPr>
      <xdr:spPr>
        <a:xfrm>
          <a:off x="610266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10</xdr:row>
      <xdr:rowOff>0</xdr:rowOff>
    </xdr:from>
    <xdr:to>
      <xdr:col>80</xdr:col>
      <xdr:colOff>0</xdr:colOff>
      <xdr:row>13</xdr:row>
      <xdr:rowOff>0</xdr:rowOff>
    </xdr:to>
    <xdr:sp>
      <xdr:nvSpPr>
        <xdr:cNvPr id="200" name="Rectangle 226"/>
        <xdr:cNvSpPr>
          <a:spLocks/>
        </xdr:cNvSpPr>
      </xdr:nvSpPr>
      <xdr:spPr>
        <a:xfrm>
          <a:off x="58407300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80</xdr:col>
      <xdr:colOff>0</xdr:colOff>
      <xdr:row>16</xdr:row>
      <xdr:rowOff>0</xdr:rowOff>
    </xdr:to>
    <xdr:sp>
      <xdr:nvSpPr>
        <xdr:cNvPr id="201" name="Rectangle 227"/>
        <xdr:cNvSpPr>
          <a:spLocks/>
        </xdr:cNvSpPr>
      </xdr:nvSpPr>
      <xdr:spPr>
        <a:xfrm>
          <a:off x="584073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80</xdr:col>
      <xdr:colOff>0</xdr:colOff>
      <xdr:row>19</xdr:row>
      <xdr:rowOff>0</xdr:rowOff>
    </xdr:to>
    <xdr:sp>
      <xdr:nvSpPr>
        <xdr:cNvPr id="202" name="Rectangle 228"/>
        <xdr:cNvSpPr>
          <a:spLocks/>
        </xdr:cNvSpPr>
      </xdr:nvSpPr>
      <xdr:spPr>
        <a:xfrm>
          <a:off x="58407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9</xdr:row>
      <xdr:rowOff>0</xdr:rowOff>
    </xdr:from>
    <xdr:to>
      <xdr:col>87</xdr:col>
      <xdr:colOff>0</xdr:colOff>
      <xdr:row>13</xdr:row>
      <xdr:rowOff>0</xdr:rowOff>
    </xdr:to>
    <xdr:sp>
      <xdr:nvSpPr>
        <xdr:cNvPr id="203" name="Rectangle 229"/>
        <xdr:cNvSpPr>
          <a:spLocks/>
        </xdr:cNvSpPr>
      </xdr:nvSpPr>
      <xdr:spPr>
        <a:xfrm>
          <a:off x="620744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9</xdr:row>
      <xdr:rowOff>0</xdr:rowOff>
    </xdr:from>
    <xdr:to>
      <xdr:col>84</xdr:col>
      <xdr:colOff>0</xdr:colOff>
      <xdr:row>13</xdr:row>
      <xdr:rowOff>0</xdr:rowOff>
    </xdr:to>
    <xdr:sp>
      <xdr:nvSpPr>
        <xdr:cNvPr id="204" name="Rectangle 230"/>
        <xdr:cNvSpPr>
          <a:spLocks/>
        </xdr:cNvSpPr>
      </xdr:nvSpPr>
      <xdr:spPr>
        <a:xfrm>
          <a:off x="610266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9</xdr:row>
      <xdr:rowOff>0</xdr:rowOff>
    </xdr:from>
    <xdr:to>
      <xdr:col>83</xdr:col>
      <xdr:colOff>0</xdr:colOff>
      <xdr:row>13</xdr:row>
      <xdr:rowOff>0</xdr:rowOff>
    </xdr:to>
    <xdr:sp>
      <xdr:nvSpPr>
        <xdr:cNvPr id="205" name="Rectangle 231"/>
        <xdr:cNvSpPr>
          <a:spLocks/>
        </xdr:cNvSpPr>
      </xdr:nvSpPr>
      <xdr:spPr>
        <a:xfrm>
          <a:off x="590835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9</xdr:row>
      <xdr:rowOff>0</xdr:rowOff>
    </xdr:from>
    <xdr:to>
      <xdr:col>80</xdr:col>
      <xdr:colOff>0</xdr:colOff>
      <xdr:row>13</xdr:row>
      <xdr:rowOff>0</xdr:rowOff>
    </xdr:to>
    <xdr:sp>
      <xdr:nvSpPr>
        <xdr:cNvPr id="206" name="Rectangle 232"/>
        <xdr:cNvSpPr>
          <a:spLocks/>
        </xdr:cNvSpPr>
      </xdr:nvSpPr>
      <xdr:spPr>
        <a:xfrm>
          <a:off x="584073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14</xdr:row>
      <xdr:rowOff>0</xdr:rowOff>
    </xdr:from>
    <xdr:to>
      <xdr:col>87</xdr:col>
      <xdr:colOff>0</xdr:colOff>
      <xdr:row>16</xdr:row>
      <xdr:rowOff>0</xdr:rowOff>
    </xdr:to>
    <xdr:sp>
      <xdr:nvSpPr>
        <xdr:cNvPr id="207" name="Rectangle 233"/>
        <xdr:cNvSpPr>
          <a:spLocks/>
        </xdr:cNvSpPr>
      </xdr:nvSpPr>
      <xdr:spPr>
        <a:xfrm>
          <a:off x="6207442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17</xdr:row>
      <xdr:rowOff>0</xdr:rowOff>
    </xdr:from>
    <xdr:to>
      <xdr:col>87</xdr:col>
      <xdr:colOff>0</xdr:colOff>
      <xdr:row>19</xdr:row>
      <xdr:rowOff>0</xdr:rowOff>
    </xdr:to>
    <xdr:sp>
      <xdr:nvSpPr>
        <xdr:cNvPr id="208" name="Rectangle 234"/>
        <xdr:cNvSpPr>
          <a:spLocks/>
        </xdr:cNvSpPr>
      </xdr:nvSpPr>
      <xdr:spPr>
        <a:xfrm>
          <a:off x="620744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9</xdr:row>
      <xdr:rowOff>0</xdr:rowOff>
    </xdr:from>
    <xdr:to>
      <xdr:col>98</xdr:col>
      <xdr:colOff>0</xdr:colOff>
      <xdr:row>13</xdr:row>
      <xdr:rowOff>0</xdr:rowOff>
    </xdr:to>
    <xdr:sp>
      <xdr:nvSpPr>
        <xdr:cNvPr id="209" name="Rectangle 235"/>
        <xdr:cNvSpPr>
          <a:spLocks/>
        </xdr:cNvSpPr>
      </xdr:nvSpPr>
      <xdr:spPr>
        <a:xfrm>
          <a:off x="701516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9</xdr:row>
      <xdr:rowOff>0</xdr:rowOff>
    </xdr:from>
    <xdr:to>
      <xdr:col>95</xdr:col>
      <xdr:colOff>0</xdr:colOff>
      <xdr:row>13</xdr:row>
      <xdr:rowOff>0</xdr:rowOff>
    </xdr:to>
    <xdr:sp>
      <xdr:nvSpPr>
        <xdr:cNvPr id="210" name="Rectangle 236"/>
        <xdr:cNvSpPr>
          <a:spLocks/>
        </xdr:cNvSpPr>
      </xdr:nvSpPr>
      <xdr:spPr>
        <a:xfrm>
          <a:off x="691038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9</xdr:row>
      <xdr:rowOff>0</xdr:rowOff>
    </xdr:from>
    <xdr:to>
      <xdr:col>94</xdr:col>
      <xdr:colOff>0</xdr:colOff>
      <xdr:row>13</xdr:row>
      <xdr:rowOff>0</xdr:rowOff>
    </xdr:to>
    <xdr:sp>
      <xdr:nvSpPr>
        <xdr:cNvPr id="211" name="Rectangle 237"/>
        <xdr:cNvSpPr>
          <a:spLocks/>
        </xdr:cNvSpPr>
      </xdr:nvSpPr>
      <xdr:spPr>
        <a:xfrm>
          <a:off x="66513075" y="1466850"/>
          <a:ext cx="2590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14</xdr:row>
      <xdr:rowOff>0</xdr:rowOff>
    </xdr:from>
    <xdr:to>
      <xdr:col>94</xdr:col>
      <xdr:colOff>0</xdr:colOff>
      <xdr:row>16</xdr:row>
      <xdr:rowOff>0</xdr:rowOff>
    </xdr:to>
    <xdr:sp>
      <xdr:nvSpPr>
        <xdr:cNvPr id="212" name="Rectangle 238"/>
        <xdr:cNvSpPr>
          <a:spLocks/>
        </xdr:cNvSpPr>
      </xdr:nvSpPr>
      <xdr:spPr>
        <a:xfrm>
          <a:off x="66513075" y="2314575"/>
          <a:ext cx="2590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94</xdr:col>
      <xdr:colOff>0</xdr:colOff>
      <xdr:row>19</xdr:row>
      <xdr:rowOff>0</xdr:rowOff>
    </xdr:to>
    <xdr:sp>
      <xdr:nvSpPr>
        <xdr:cNvPr id="213" name="Rectangle 239"/>
        <xdr:cNvSpPr>
          <a:spLocks/>
        </xdr:cNvSpPr>
      </xdr:nvSpPr>
      <xdr:spPr>
        <a:xfrm>
          <a:off x="66513075" y="2819400"/>
          <a:ext cx="2590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17</xdr:row>
      <xdr:rowOff>0</xdr:rowOff>
    </xdr:from>
    <xdr:to>
      <xdr:col>95</xdr:col>
      <xdr:colOff>0</xdr:colOff>
      <xdr:row>19</xdr:row>
      <xdr:rowOff>0</xdr:rowOff>
    </xdr:to>
    <xdr:sp>
      <xdr:nvSpPr>
        <xdr:cNvPr id="214" name="Rectangle 240"/>
        <xdr:cNvSpPr>
          <a:spLocks/>
        </xdr:cNvSpPr>
      </xdr:nvSpPr>
      <xdr:spPr>
        <a:xfrm>
          <a:off x="69103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14</xdr:row>
      <xdr:rowOff>0</xdr:rowOff>
    </xdr:from>
    <xdr:to>
      <xdr:col>95</xdr:col>
      <xdr:colOff>0</xdr:colOff>
      <xdr:row>16</xdr:row>
      <xdr:rowOff>0</xdr:rowOff>
    </xdr:to>
    <xdr:sp>
      <xdr:nvSpPr>
        <xdr:cNvPr id="215" name="Rectangle 241"/>
        <xdr:cNvSpPr>
          <a:spLocks/>
        </xdr:cNvSpPr>
      </xdr:nvSpPr>
      <xdr:spPr>
        <a:xfrm>
          <a:off x="691038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9</xdr:row>
      <xdr:rowOff>0</xdr:rowOff>
    </xdr:from>
    <xdr:to>
      <xdr:col>91</xdr:col>
      <xdr:colOff>0</xdr:colOff>
      <xdr:row>13</xdr:row>
      <xdr:rowOff>0</xdr:rowOff>
    </xdr:to>
    <xdr:sp>
      <xdr:nvSpPr>
        <xdr:cNvPr id="216" name="Rectangle 242"/>
        <xdr:cNvSpPr>
          <a:spLocks/>
        </xdr:cNvSpPr>
      </xdr:nvSpPr>
      <xdr:spPr>
        <a:xfrm>
          <a:off x="66513075" y="1466850"/>
          <a:ext cx="6477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14</xdr:row>
      <xdr:rowOff>0</xdr:rowOff>
    </xdr:from>
    <xdr:to>
      <xdr:col>91</xdr:col>
      <xdr:colOff>0</xdr:colOff>
      <xdr:row>16</xdr:row>
      <xdr:rowOff>0</xdr:rowOff>
    </xdr:to>
    <xdr:sp>
      <xdr:nvSpPr>
        <xdr:cNvPr id="217" name="Rectangle 243"/>
        <xdr:cNvSpPr>
          <a:spLocks/>
        </xdr:cNvSpPr>
      </xdr:nvSpPr>
      <xdr:spPr>
        <a:xfrm>
          <a:off x="66513075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91</xdr:col>
      <xdr:colOff>0</xdr:colOff>
      <xdr:row>19</xdr:row>
      <xdr:rowOff>0</xdr:rowOff>
    </xdr:to>
    <xdr:sp>
      <xdr:nvSpPr>
        <xdr:cNvPr id="218" name="Rectangle 244"/>
        <xdr:cNvSpPr>
          <a:spLocks/>
        </xdr:cNvSpPr>
      </xdr:nvSpPr>
      <xdr:spPr>
        <a:xfrm>
          <a:off x="665130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10</xdr:row>
      <xdr:rowOff>0</xdr:rowOff>
    </xdr:from>
    <xdr:to>
      <xdr:col>98</xdr:col>
      <xdr:colOff>0</xdr:colOff>
      <xdr:row>13</xdr:row>
      <xdr:rowOff>0</xdr:rowOff>
    </xdr:to>
    <xdr:sp>
      <xdr:nvSpPr>
        <xdr:cNvPr id="219" name="Rectangle 245"/>
        <xdr:cNvSpPr>
          <a:spLocks/>
        </xdr:cNvSpPr>
      </xdr:nvSpPr>
      <xdr:spPr>
        <a:xfrm>
          <a:off x="7015162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10</xdr:row>
      <xdr:rowOff>0</xdr:rowOff>
    </xdr:from>
    <xdr:to>
      <xdr:col>95</xdr:col>
      <xdr:colOff>0</xdr:colOff>
      <xdr:row>13</xdr:row>
      <xdr:rowOff>0</xdr:rowOff>
    </xdr:to>
    <xdr:sp>
      <xdr:nvSpPr>
        <xdr:cNvPr id="220" name="Rectangle 246"/>
        <xdr:cNvSpPr>
          <a:spLocks/>
        </xdr:cNvSpPr>
      </xdr:nvSpPr>
      <xdr:spPr>
        <a:xfrm>
          <a:off x="6910387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10</xdr:row>
      <xdr:rowOff>0</xdr:rowOff>
    </xdr:from>
    <xdr:to>
      <xdr:col>94</xdr:col>
      <xdr:colOff>0</xdr:colOff>
      <xdr:row>13</xdr:row>
      <xdr:rowOff>0</xdr:rowOff>
    </xdr:to>
    <xdr:sp>
      <xdr:nvSpPr>
        <xdr:cNvPr id="221" name="Rectangle 247"/>
        <xdr:cNvSpPr>
          <a:spLocks/>
        </xdr:cNvSpPr>
      </xdr:nvSpPr>
      <xdr:spPr>
        <a:xfrm>
          <a:off x="66513075" y="1638300"/>
          <a:ext cx="25908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14</xdr:row>
      <xdr:rowOff>0</xdr:rowOff>
    </xdr:from>
    <xdr:to>
      <xdr:col>94</xdr:col>
      <xdr:colOff>0</xdr:colOff>
      <xdr:row>16</xdr:row>
      <xdr:rowOff>0</xdr:rowOff>
    </xdr:to>
    <xdr:sp>
      <xdr:nvSpPr>
        <xdr:cNvPr id="222" name="Rectangle 248"/>
        <xdr:cNvSpPr>
          <a:spLocks/>
        </xdr:cNvSpPr>
      </xdr:nvSpPr>
      <xdr:spPr>
        <a:xfrm>
          <a:off x="66513075" y="2314575"/>
          <a:ext cx="2590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94</xdr:col>
      <xdr:colOff>0</xdr:colOff>
      <xdr:row>19</xdr:row>
      <xdr:rowOff>0</xdr:rowOff>
    </xdr:to>
    <xdr:sp>
      <xdr:nvSpPr>
        <xdr:cNvPr id="223" name="Rectangle 249"/>
        <xdr:cNvSpPr>
          <a:spLocks/>
        </xdr:cNvSpPr>
      </xdr:nvSpPr>
      <xdr:spPr>
        <a:xfrm>
          <a:off x="66513075" y="2819400"/>
          <a:ext cx="2590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17</xdr:row>
      <xdr:rowOff>0</xdr:rowOff>
    </xdr:from>
    <xdr:to>
      <xdr:col>95</xdr:col>
      <xdr:colOff>0</xdr:colOff>
      <xdr:row>19</xdr:row>
      <xdr:rowOff>0</xdr:rowOff>
    </xdr:to>
    <xdr:sp>
      <xdr:nvSpPr>
        <xdr:cNvPr id="224" name="Rectangle 250"/>
        <xdr:cNvSpPr>
          <a:spLocks/>
        </xdr:cNvSpPr>
      </xdr:nvSpPr>
      <xdr:spPr>
        <a:xfrm>
          <a:off x="69103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14</xdr:row>
      <xdr:rowOff>0</xdr:rowOff>
    </xdr:from>
    <xdr:to>
      <xdr:col>95</xdr:col>
      <xdr:colOff>0</xdr:colOff>
      <xdr:row>16</xdr:row>
      <xdr:rowOff>0</xdr:rowOff>
    </xdr:to>
    <xdr:sp>
      <xdr:nvSpPr>
        <xdr:cNvPr id="225" name="Rectangle 251"/>
        <xdr:cNvSpPr>
          <a:spLocks/>
        </xdr:cNvSpPr>
      </xdr:nvSpPr>
      <xdr:spPr>
        <a:xfrm>
          <a:off x="691038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10</xdr:row>
      <xdr:rowOff>0</xdr:rowOff>
    </xdr:from>
    <xdr:to>
      <xdr:col>91</xdr:col>
      <xdr:colOff>0</xdr:colOff>
      <xdr:row>13</xdr:row>
      <xdr:rowOff>0</xdr:rowOff>
    </xdr:to>
    <xdr:sp>
      <xdr:nvSpPr>
        <xdr:cNvPr id="226" name="Rectangle 252"/>
        <xdr:cNvSpPr>
          <a:spLocks/>
        </xdr:cNvSpPr>
      </xdr:nvSpPr>
      <xdr:spPr>
        <a:xfrm>
          <a:off x="66513075" y="1638300"/>
          <a:ext cx="6477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14</xdr:row>
      <xdr:rowOff>0</xdr:rowOff>
    </xdr:from>
    <xdr:to>
      <xdr:col>91</xdr:col>
      <xdr:colOff>0</xdr:colOff>
      <xdr:row>16</xdr:row>
      <xdr:rowOff>0</xdr:rowOff>
    </xdr:to>
    <xdr:sp>
      <xdr:nvSpPr>
        <xdr:cNvPr id="227" name="Rectangle 253"/>
        <xdr:cNvSpPr>
          <a:spLocks/>
        </xdr:cNvSpPr>
      </xdr:nvSpPr>
      <xdr:spPr>
        <a:xfrm>
          <a:off x="66513075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91</xdr:col>
      <xdr:colOff>0</xdr:colOff>
      <xdr:row>19</xdr:row>
      <xdr:rowOff>0</xdr:rowOff>
    </xdr:to>
    <xdr:sp>
      <xdr:nvSpPr>
        <xdr:cNvPr id="228" name="Rectangle 254"/>
        <xdr:cNvSpPr>
          <a:spLocks/>
        </xdr:cNvSpPr>
      </xdr:nvSpPr>
      <xdr:spPr>
        <a:xfrm>
          <a:off x="665130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9</xdr:row>
      <xdr:rowOff>0</xdr:rowOff>
    </xdr:from>
    <xdr:to>
      <xdr:col>98</xdr:col>
      <xdr:colOff>0</xdr:colOff>
      <xdr:row>13</xdr:row>
      <xdr:rowOff>0</xdr:rowOff>
    </xdr:to>
    <xdr:sp>
      <xdr:nvSpPr>
        <xdr:cNvPr id="229" name="Rectangle 255"/>
        <xdr:cNvSpPr>
          <a:spLocks/>
        </xdr:cNvSpPr>
      </xdr:nvSpPr>
      <xdr:spPr>
        <a:xfrm>
          <a:off x="701516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9</xdr:row>
      <xdr:rowOff>0</xdr:rowOff>
    </xdr:from>
    <xdr:to>
      <xdr:col>95</xdr:col>
      <xdr:colOff>0</xdr:colOff>
      <xdr:row>13</xdr:row>
      <xdr:rowOff>0</xdr:rowOff>
    </xdr:to>
    <xdr:sp>
      <xdr:nvSpPr>
        <xdr:cNvPr id="230" name="Rectangle 256"/>
        <xdr:cNvSpPr>
          <a:spLocks/>
        </xdr:cNvSpPr>
      </xdr:nvSpPr>
      <xdr:spPr>
        <a:xfrm>
          <a:off x="691038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9</xdr:row>
      <xdr:rowOff>0</xdr:rowOff>
    </xdr:from>
    <xdr:to>
      <xdr:col>94</xdr:col>
      <xdr:colOff>0</xdr:colOff>
      <xdr:row>13</xdr:row>
      <xdr:rowOff>0</xdr:rowOff>
    </xdr:to>
    <xdr:sp>
      <xdr:nvSpPr>
        <xdr:cNvPr id="231" name="Rectangle 257"/>
        <xdr:cNvSpPr>
          <a:spLocks/>
        </xdr:cNvSpPr>
      </xdr:nvSpPr>
      <xdr:spPr>
        <a:xfrm>
          <a:off x="671607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9</xdr:row>
      <xdr:rowOff>0</xdr:rowOff>
    </xdr:from>
    <xdr:to>
      <xdr:col>91</xdr:col>
      <xdr:colOff>0</xdr:colOff>
      <xdr:row>13</xdr:row>
      <xdr:rowOff>0</xdr:rowOff>
    </xdr:to>
    <xdr:sp>
      <xdr:nvSpPr>
        <xdr:cNvPr id="232" name="Rectangle 258"/>
        <xdr:cNvSpPr>
          <a:spLocks/>
        </xdr:cNvSpPr>
      </xdr:nvSpPr>
      <xdr:spPr>
        <a:xfrm>
          <a:off x="66513075" y="1466850"/>
          <a:ext cx="6477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14</xdr:row>
      <xdr:rowOff>0</xdr:rowOff>
    </xdr:from>
    <xdr:to>
      <xdr:col>98</xdr:col>
      <xdr:colOff>0</xdr:colOff>
      <xdr:row>16</xdr:row>
      <xdr:rowOff>0</xdr:rowOff>
    </xdr:to>
    <xdr:sp>
      <xdr:nvSpPr>
        <xdr:cNvPr id="233" name="Rectangle 259"/>
        <xdr:cNvSpPr>
          <a:spLocks/>
        </xdr:cNvSpPr>
      </xdr:nvSpPr>
      <xdr:spPr>
        <a:xfrm>
          <a:off x="7015162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17</xdr:row>
      <xdr:rowOff>0</xdr:rowOff>
    </xdr:from>
    <xdr:to>
      <xdr:col>98</xdr:col>
      <xdr:colOff>0</xdr:colOff>
      <xdr:row>19</xdr:row>
      <xdr:rowOff>0</xdr:rowOff>
    </xdr:to>
    <xdr:sp>
      <xdr:nvSpPr>
        <xdr:cNvPr id="234" name="Rectangle 260"/>
        <xdr:cNvSpPr>
          <a:spLocks/>
        </xdr:cNvSpPr>
      </xdr:nvSpPr>
      <xdr:spPr>
        <a:xfrm>
          <a:off x="701516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9</xdr:row>
      <xdr:rowOff>0</xdr:rowOff>
    </xdr:from>
    <xdr:to>
      <xdr:col>109</xdr:col>
      <xdr:colOff>0</xdr:colOff>
      <xdr:row>13</xdr:row>
      <xdr:rowOff>0</xdr:rowOff>
    </xdr:to>
    <xdr:sp>
      <xdr:nvSpPr>
        <xdr:cNvPr id="235" name="Rectangle 261"/>
        <xdr:cNvSpPr>
          <a:spLocks/>
        </xdr:cNvSpPr>
      </xdr:nvSpPr>
      <xdr:spPr>
        <a:xfrm>
          <a:off x="7825740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9</xdr:row>
      <xdr:rowOff>0</xdr:rowOff>
    </xdr:from>
    <xdr:to>
      <xdr:col>106</xdr:col>
      <xdr:colOff>0</xdr:colOff>
      <xdr:row>13</xdr:row>
      <xdr:rowOff>0</xdr:rowOff>
    </xdr:to>
    <xdr:sp>
      <xdr:nvSpPr>
        <xdr:cNvPr id="236" name="Rectangle 262"/>
        <xdr:cNvSpPr>
          <a:spLocks/>
        </xdr:cNvSpPr>
      </xdr:nvSpPr>
      <xdr:spPr>
        <a:xfrm>
          <a:off x="7720965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9</xdr:row>
      <xdr:rowOff>0</xdr:rowOff>
    </xdr:from>
    <xdr:to>
      <xdr:col>105</xdr:col>
      <xdr:colOff>0</xdr:colOff>
      <xdr:row>13</xdr:row>
      <xdr:rowOff>0</xdr:rowOff>
    </xdr:to>
    <xdr:sp>
      <xdr:nvSpPr>
        <xdr:cNvPr id="237" name="Rectangle 263"/>
        <xdr:cNvSpPr>
          <a:spLocks/>
        </xdr:cNvSpPr>
      </xdr:nvSpPr>
      <xdr:spPr>
        <a:xfrm>
          <a:off x="74590275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14</xdr:row>
      <xdr:rowOff>0</xdr:rowOff>
    </xdr:from>
    <xdr:to>
      <xdr:col>105</xdr:col>
      <xdr:colOff>0</xdr:colOff>
      <xdr:row>16</xdr:row>
      <xdr:rowOff>0</xdr:rowOff>
    </xdr:to>
    <xdr:sp>
      <xdr:nvSpPr>
        <xdr:cNvPr id="238" name="Rectangle 264"/>
        <xdr:cNvSpPr>
          <a:spLocks/>
        </xdr:cNvSpPr>
      </xdr:nvSpPr>
      <xdr:spPr>
        <a:xfrm>
          <a:off x="7459027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105</xdr:col>
      <xdr:colOff>0</xdr:colOff>
      <xdr:row>19</xdr:row>
      <xdr:rowOff>0</xdr:rowOff>
    </xdr:to>
    <xdr:sp>
      <xdr:nvSpPr>
        <xdr:cNvPr id="239" name="Rectangle 265"/>
        <xdr:cNvSpPr>
          <a:spLocks/>
        </xdr:cNvSpPr>
      </xdr:nvSpPr>
      <xdr:spPr>
        <a:xfrm>
          <a:off x="74590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17</xdr:row>
      <xdr:rowOff>0</xdr:rowOff>
    </xdr:from>
    <xdr:to>
      <xdr:col>106</xdr:col>
      <xdr:colOff>0</xdr:colOff>
      <xdr:row>19</xdr:row>
      <xdr:rowOff>0</xdr:rowOff>
    </xdr:to>
    <xdr:sp>
      <xdr:nvSpPr>
        <xdr:cNvPr id="240" name="Rectangle 266"/>
        <xdr:cNvSpPr>
          <a:spLocks/>
        </xdr:cNvSpPr>
      </xdr:nvSpPr>
      <xdr:spPr>
        <a:xfrm>
          <a:off x="77209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14</xdr:row>
      <xdr:rowOff>0</xdr:rowOff>
    </xdr:from>
    <xdr:to>
      <xdr:col>106</xdr:col>
      <xdr:colOff>0</xdr:colOff>
      <xdr:row>16</xdr:row>
      <xdr:rowOff>0</xdr:rowOff>
    </xdr:to>
    <xdr:sp>
      <xdr:nvSpPr>
        <xdr:cNvPr id="241" name="Rectangle 267"/>
        <xdr:cNvSpPr>
          <a:spLocks/>
        </xdr:cNvSpPr>
      </xdr:nvSpPr>
      <xdr:spPr>
        <a:xfrm>
          <a:off x="7720965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9</xdr:row>
      <xdr:rowOff>0</xdr:rowOff>
    </xdr:from>
    <xdr:to>
      <xdr:col>102</xdr:col>
      <xdr:colOff>0</xdr:colOff>
      <xdr:row>13</xdr:row>
      <xdr:rowOff>0</xdr:rowOff>
    </xdr:to>
    <xdr:sp>
      <xdr:nvSpPr>
        <xdr:cNvPr id="242" name="Rectangle 268"/>
        <xdr:cNvSpPr>
          <a:spLocks/>
        </xdr:cNvSpPr>
      </xdr:nvSpPr>
      <xdr:spPr>
        <a:xfrm>
          <a:off x="7459027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14</xdr:row>
      <xdr:rowOff>0</xdr:rowOff>
    </xdr:from>
    <xdr:to>
      <xdr:col>102</xdr:col>
      <xdr:colOff>0</xdr:colOff>
      <xdr:row>16</xdr:row>
      <xdr:rowOff>0</xdr:rowOff>
    </xdr:to>
    <xdr:sp>
      <xdr:nvSpPr>
        <xdr:cNvPr id="243" name="Rectangle 269"/>
        <xdr:cNvSpPr>
          <a:spLocks/>
        </xdr:cNvSpPr>
      </xdr:nvSpPr>
      <xdr:spPr>
        <a:xfrm>
          <a:off x="7459027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102</xdr:col>
      <xdr:colOff>0</xdr:colOff>
      <xdr:row>19</xdr:row>
      <xdr:rowOff>0</xdr:rowOff>
    </xdr:to>
    <xdr:sp>
      <xdr:nvSpPr>
        <xdr:cNvPr id="244" name="Rectangle 270"/>
        <xdr:cNvSpPr>
          <a:spLocks/>
        </xdr:cNvSpPr>
      </xdr:nvSpPr>
      <xdr:spPr>
        <a:xfrm>
          <a:off x="74590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10</xdr:row>
      <xdr:rowOff>0</xdr:rowOff>
    </xdr:from>
    <xdr:to>
      <xdr:col>109</xdr:col>
      <xdr:colOff>0</xdr:colOff>
      <xdr:row>13</xdr:row>
      <xdr:rowOff>0</xdr:rowOff>
    </xdr:to>
    <xdr:sp>
      <xdr:nvSpPr>
        <xdr:cNvPr id="245" name="Rectangle 271"/>
        <xdr:cNvSpPr>
          <a:spLocks/>
        </xdr:cNvSpPr>
      </xdr:nvSpPr>
      <xdr:spPr>
        <a:xfrm>
          <a:off x="78257400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10</xdr:row>
      <xdr:rowOff>0</xdr:rowOff>
    </xdr:from>
    <xdr:to>
      <xdr:col>106</xdr:col>
      <xdr:colOff>0</xdr:colOff>
      <xdr:row>13</xdr:row>
      <xdr:rowOff>0</xdr:rowOff>
    </xdr:to>
    <xdr:sp>
      <xdr:nvSpPr>
        <xdr:cNvPr id="246" name="Rectangle 272"/>
        <xdr:cNvSpPr>
          <a:spLocks/>
        </xdr:cNvSpPr>
      </xdr:nvSpPr>
      <xdr:spPr>
        <a:xfrm>
          <a:off x="77209650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10</xdr:row>
      <xdr:rowOff>0</xdr:rowOff>
    </xdr:from>
    <xdr:to>
      <xdr:col>105</xdr:col>
      <xdr:colOff>0</xdr:colOff>
      <xdr:row>13</xdr:row>
      <xdr:rowOff>0</xdr:rowOff>
    </xdr:to>
    <xdr:sp>
      <xdr:nvSpPr>
        <xdr:cNvPr id="247" name="Rectangle 273"/>
        <xdr:cNvSpPr>
          <a:spLocks/>
        </xdr:cNvSpPr>
      </xdr:nvSpPr>
      <xdr:spPr>
        <a:xfrm>
          <a:off x="74590275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14</xdr:row>
      <xdr:rowOff>0</xdr:rowOff>
    </xdr:from>
    <xdr:to>
      <xdr:col>105</xdr:col>
      <xdr:colOff>0</xdr:colOff>
      <xdr:row>16</xdr:row>
      <xdr:rowOff>0</xdr:rowOff>
    </xdr:to>
    <xdr:sp>
      <xdr:nvSpPr>
        <xdr:cNvPr id="248" name="Rectangle 274"/>
        <xdr:cNvSpPr>
          <a:spLocks/>
        </xdr:cNvSpPr>
      </xdr:nvSpPr>
      <xdr:spPr>
        <a:xfrm>
          <a:off x="7459027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105</xdr:col>
      <xdr:colOff>0</xdr:colOff>
      <xdr:row>19</xdr:row>
      <xdr:rowOff>0</xdr:rowOff>
    </xdr:to>
    <xdr:sp>
      <xdr:nvSpPr>
        <xdr:cNvPr id="249" name="Rectangle 275"/>
        <xdr:cNvSpPr>
          <a:spLocks/>
        </xdr:cNvSpPr>
      </xdr:nvSpPr>
      <xdr:spPr>
        <a:xfrm>
          <a:off x="74590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17</xdr:row>
      <xdr:rowOff>0</xdr:rowOff>
    </xdr:from>
    <xdr:to>
      <xdr:col>106</xdr:col>
      <xdr:colOff>0</xdr:colOff>
      <xdr:row>19</xdr:row>
      <xdr:rowOff>0</xdr:rowOff>
    </xdr:to>
    <xdr:sp>
      <xdr:nvSpPr>
        <xdr:cNvPr id="250" name="Rectangle 276"/>
        <xdr:cNvSpPr>
          <a:spLocks/>
        </xdr:cNvSpPr>
      </xdr:nvSpPr>
      <xdr:spPr>
        <a:xfrm>
          <a:off x="77209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14</xdr:row>
      <xdr:rowOff>0</xdr:rowOff>
    </xdr:from>
    <xdr:to>
      <xdr:col>106</xdr:col>
      <xdr:colOff>0</xdr:colOff>
      <xdr:row>16</xdr:row>
      <xdr:rowOff>0</xdr:rowOff>
    </xdr:to>
    <xdr:sp>
      <xdr:nvSpPr>
        <xdr:cNvPr id="251" name="Rectangle 277"/>
        <xdr:cNvSpPr>
          <a:spLocks/>
        </xdr:cNvSpPr>
      </xdr:nvSpPr>
      <xdr:spPr>
        <a:xfrm>
          <a:off x="77209650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10</xdr:row>
      <xdr:rowOff>0</xdr:rowOff>
    </xdr:from>
    <xdr:to>
      <xdr:col>102</xdr:col>
      <xdr:colOff>0</xdr:colOff>
      <xdr:row>13</xdr:row>
      <xdr:rowOff>0</xdr:rowOff>
    </xdr:to>
    <xdr:sp>
      <xdr:nvSpPr>
        <xdr:cNvPr id="252" name="Rectangle 278"/>
        <xdr:cNvSpPr>
          <a:spLocks/>
        </xdr:cNvSpPr>
      </xdr:nvSpPr>
      <xdr:spPr>
        <a:xfrm>
          <a:off x="74590275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14</xdr:row>
      <xdr:rowOff>0</xdr:rowOff>
    </xdr:from>
    <xdr:to>
      <xdr:col>102</xdr:col>
      <xdr:colOff>0</xdr:colOff>
      <xdr:row>16</xdr:row>
      <xdr:rowOff>0</xdr:rowOff>
    </xdr:to>
    <xdr:sp>
      <xdr:nvSpPr>
        <xdr:cNvPr id="253" name="Rectangle 279"/>
        <xdr:cNvSpPr>
          <a:spLocks/>
        </xdr:cNvSpPr>
      </xdr:nvSpPr>
      <xdr:spPr>
        <a:xfrm>
          <a:off x="7459027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102</xdr:col>
      <xdr:colOff>0</xdr:colOff>
      <xdr:row>19</xdr:row>
      <xdr:rowOff>0</xdr:rowOff>
    </xdr:to>
    <xdr:sp>
      <xdr:nvSpPr>
        <xdr:cNvPr id="254" name="Rectangle 280"/>
        <xdr:cNvSpPr>
          <a:spLocks/>
        </xdr:cNvSpPr>
      </xdr:nvSpPr>
      <xdr:spPr>
        <a:xfrm>
          <a:off x="74590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9</xdr:row>
      <xdr:rowOff>0</xdr:rowOff>
    </xdr:from>
    <xdr:to>
      <xdr:col>109</xdr:col>
      <xdr:colOff>0</xdr:colOff>
      <xdr:row>13</xdr:row>
      <xdr:rowOff>0</xdr:rowOff>
    </xdr:to>
    <xdr:sp>
      <xdr:nvSpPr>
        <xdr:cNvPr id="255" name="Rectangle 281"/>
        <xdr:cNvSpPr>
          <a:spLocks/>
        </xdr:cNvSpPr>
      </xdr:nvSpPr>
      <xdr:spPr>
        <a:xfrm>
          <a:off x="7825740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9</xdr:row>
      <xdr:rowOff>0</xdr:rowOff>
    </xdr:from>
    <xdr:to>
      <xdr:col>106</xdr:col>
      <xdr:colOff>0</xdr:colOff>
      <xdr:row>13</xdr:row>
      <xdr:rowOff>0</xdr:rowOff>
    </xdr:to>
    <xdr:sp>
      <xdr:nvSpPr>
        <xdr:cNvPr id="256" name="Rectangle 282"/>
        <xdr:cNvSpPr>
          <a:spLocks/>
        </xdr:cNvSpPr>
      </xdr:nvSpPr>
      <xdr:spPr>
        <a:xfrm>
          <a:off x="77209650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9</xdr:row>
      <xdr:rowOff>0</xdr:rowOff>
    </xdr:from>
    <xdr:to>
      <xdr:col>105</xdr:col>
      <xdr:colOff>0</xdr:colOff>
      <xdr:row>13</xdr:row>
      <xdr:rowOff>0</xdr:rowOff>
    </xdr:to>
    <xdr:sp>
      <xdr:nvSpPr>
        <xdr:cNvPr id="257" name="Rectangle 283"/>
        <xdr:cNvSpPr>
          <a:spLocks/>
        </xdr:cNvSpPr>
      </xdr:nvSpPr>
      <xdr:spPr>
        <a:xfrm>
          <a:off x="7526655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9</xdr:row>
      <xdr:rowOff>0</xdr:rowOff>
    </xdr:from>
    <xdr:to>
      <xdr:col>102</xdr:col>
      <xdr:colOff>0</xdr:colOff>
      <xdr:row>13</xdr:row>
      <xdr:rowOff>0</xdr:rowOff>
    </xdr:to>
    <xdr:sp>
      <xdr:nvSpPr>
        <xdr:cNvPr id="258" name="Rectangle 284"/>
        <xdr:cNvSpPr>
          <a:spLocks/>
        </xdr:cNvSpPr>
      </xdr:nvSpPr>
      <xdr:spPr>
        <a:xfrm>
          <a:off x="7459027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14</xdr:row>
      <xdr:rowOff>0</xdr:rowOff>
    </xdr:from>
    <xdr:to>
      <xdr:col>109</xdr:col>
      <xdr:colOff>0</xdr:colOff>
      <xdr:row>16</xdr:row>
      <xdr:rowOff>0</xdr:rowOff>
    </xdr:to>
    <xdr:sp>
      <xdr:nvSpPr>
        <xdr:cNvPr id="259" name="Rectangle 285"/>
        <xdr:cNvSpPr>
          <a:spLocks/>
        </xdr:cNvSpPr>
      </xdr:nvSpPr>
      <xdr:spPr>
        <a:xfrm>
          <a:off x="78257400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17</xdr:row>
      <xdr:rowOff>0</xdr:rowOff>
    </xdr:from>
    <xdr:to>
      <xdr:col>109</xdr:col>
      <xdr:colOff>0</xdr:colOff>
      <xdr:row>19</xdr:row>
      <xdr:rowOff>0</xdr:rowOff>
    </xdr:to>
    <xdr:sp>
      <xdr:nvSpPr>
        <xdr:cNvPr id="260" name="Rectangle 286"/>
        <xdr:cNvSpPr>
          <a:spLocks/>
        </xdr:cNvSpPr>
      </xdr:nvSpPr>
      <xdr:spPr>
        <a:xfrm>
          <a:off x="7825740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9</xdr:row>
      <xdr:rowOff>0</xdr:rowOff>
    </xdr:from>
    <xdr:to>
      <xdr:col>120</xdr:col>
      <xdr:colOff>0</xdr:colOff>
      <xdr:row>13</xdr:row>
      <xdr:rowOff>0</xdr:rowOff>
    </xdr:to>
    <xdr:sp>
      <xdr:nvSpPr>
        <xdr:cNvPr id="261" name="Rectangle 287"/>
        <xdr:cNvSpPr>
          <a:spLocks/>
        </xdr:cNvSpPr>
      </xdr:nvSpPr>
      <xdr:spPr>
        <a:xfrm>
          <a:off x="863631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9</xdr:row>
      <xdr:rowOff>0</xdr:rowOff>
    </xdr:from>
    <xdr:to>
      <xdr:col>117</xdr:col>
      <xdr:colOff>0</xdr:colOff>
      <xdr:row>13</xdr:row>
      <xdr:rowOff>0</xdr:rowOff>
    </xdr:to>
    <xdr:sp>
      <xdr:nvSpPr>
        <xdr:cNvPr id="262" name="Rectangle 288"/>
        <xdr:cNvSpPr>
          <a:spLocks/>
        </xdr:cNvSpPr>
      </xdr:nvSpPr>
      <xdr:spPr>
        <a:xfrm>
          <a:off x="8531542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9</xdr:row>
      <xdr:rowOff>0</xdr:rowOff>
    </xdr:from>
    <xdr:to>
      <xdr:col>116</xdr:col>
      <xdr:colOff>0</xdr:colOff>
      <xdr:row>13</xdr:row>
      <xdr:rowOff>0</xdr:rowOff>
    </xdr:to>
    <xdr:sp>
      <xdr:nvSpPr>
        <xdr:cNvPr id="263" name="Rectangle 289"/>
        <xdr:cNvSpPr>
          <a:spLocks/>
        </xdr:cNvSpPr>
      </xdr:nvSpPr>
      <xdr:spPr>
        <a:xfrm>
          <a:off x="82696050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14</xdr:row>
      <xdr:rowOff>0</xdr:rowOff>
    </xdr:from>
    <xdr:to>
      <xdr:col>116</xdr:col>
      <xdr:colOff>0</xdr:colOff>
      <xdr:row>16</xdr:row>
      <xdr:rowOff>0</xdr:rowOff>
    </xdr:to>
    <xdr:sp>
      <xdr:nvSpPr>
        <xdr:cNvPr id="264" name="Rectangle 290"/>
        <xdr:cNvSpPr>
          <a:spLocks/>
        </xdr:cNvSpPr>
      </xdr:nvSpPr>
      <xdr:spPr>
        <a:xfrm>
          <a:off x="8269605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116</xdr:col>
      <xdr:colOff>0</xdr:colOff>
      <xdr:row>19</xdr:row>
      <xdr:rowOff>0</xdr:rowOff>
    </xdr:to>
    <xdr:sp>
      <xdr:nvSpPr>
        <xdr:cNvPr id="265" name="Rectangle 291"/>
        <xdr:cNvSpPr>
          <a:spLocks/>
        </xdr:cNvSpPr>
      </xdr:nvSpPr>
      <xdr:spPr>
        <a:xfrm>
          <a:off x="8269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117</xdr:col>
      <xdr:colOff>0</xdr:colOff>
      <xdr:row>19</xdr:row>
      <xdr:rowOff>0</xdr:rowOff>
    </xdr:to>
    <xdr:sp>
      <xdr:nvSpPr>
        <xdr:cNvPr id="266" name="Rectangle 292"/>
        <xdr:cNvSpPr>
          <a:spLocks/>
        </xdr:cNvSpPr>
      </xdr:nvSpPr>
      <xdr:spPr>
        <a:xfrm>
          <a:off x="8531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14</xdr:row>
      <xdr:rowOff>0</xdr:rowOff>
    </xdr:from>
    <xdr:to>
      <xdr:col>117</xdr:col>
      <xdr:colOff>0</xdr:colOff>
      <xdr:row>16</xdr:row>
      <xdr:rowOff>0</xdr:rowOff>
    </xdr:to>
    <xdr:sp>
      <xdr:nvSpPr>
        <xdr:cNvPr id="267" name="Rectangle 293"/>
        <xdr:cNvSpPr>
          <a:spLocks/>
        </xdr:cNvSpPr>
      </xdr:nvSpPr>
      <xdr:spPr>
        <a:xfrm>
          <a:off x="8531542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9</xdr:row>
      <xdr:rowOff>0</xdr:rowOff>
    </xdr:from>
    <xdr:to>
      <xdr:col>113</xdr:col>
      <xdr:colOff>0</xdr:colOff>
      <xdr:row>13</xdr:row>
      <xdr:rowOff>0</xdr:rowOff>
    </xdr:to>
    <xdr:sp>
      <xdr:nvSpPr>
        <xdr:cNvPr id="268" name="Rectangle 294"/>
        <xdr:cNvSpPr>
          <a:spLocks/>
        </xdr:cNvSpPr>
      </xdr:nvSpPr>
      <xdr:spPr>
        <a:xfrm>
          <a:off x="8269605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14</xdr:row>
      <xdr:rowOff>0</xdr:rowOff>
    </xdr:from>
    <xdr:to>
      <xdr:col>113</xdr:col>
      <xdr:colOff>0</xdr:colOff>
      <xdr:row>16</xdr:row>
      <xdr:rowOff>0</xdr:rowOff>
    </xdr:to>
    <xdr:sp>
      <xdr:nvSpPr>
        <xdr:cNvPr id="269" name="Rectangle 295"/>
        <xdr:cNvSpPr>
          <a:spLocks/>
        </xdr:cNvSpPr>
      </xdr:nvSpPr>
      <xdr:spPr>
        <a:xfrm>
          <a:off x="8269605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113</xdr:col>
      <xdr:colOff>0</xdr:colOff>
      <xdr:row>19</xdr:row>
      <xdr:rowOff>0</xdr:rowOff>
    </xdr:to>
    <xdr:sp>
      <xdr:nvSpPr>
        <xdr:cNvPr id="270" name="Rectangle 296"/>
        <xdr:cNvSpPr>
          <a:spLocks/>
        </xdr:cNvSpPr>
      </xdr:nvSpPr>
      <xdr:spPr>
        <a:xfrm>
          <a:off x="8269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10</xdr:row>
      <xdr:rowOff>0</xdr:rowOff>
    </xdr:from>
    <xdr:to>
      <xdr:col>120</xdr:col>
      <xdr:colOff>0</xdr:colOff>
      <xdr:row>13</xdr:row>
      <xdr:rowOff>0</xdr:rowOff>
    </xdr:to>
    <xdr:sp>
      <xdr:nvSpPr>
        <xdr:cNvPr id="271" name="Rectangle 297"/>
        <xdr:cNvSpPr>
          <a:spLocks/>
        </xdr:cNvSpPr>
      </xdr:nvSpPr>
      <xdr:spPr>
        <a:xfrm>
          <a:off x="8636317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10</xdr:row>
      <xdr:rowOff>0</xdr:rowOff>
    </xdr:from>
    <xdr:to>
      <xdr:col>117</xdr:col>
      <xdr:colOff>0</xdr:colOff>
      <xdr:row>13</xdr:row>
      <xdr:rowOff>0</xdr:rowOff>
    </xdr:to>
    <xdr:sp>
      <xdr:nvSpPr>
        <xdr:cNvPr id="272" name="Rectangle 298"/>
        <xdr:cNvSpPr>
          <a:spLocks/>
        </xdr:cNvSpPr>
      </xdr:nvSpPr>
      <xdr:spPr>
        <a:xfrm>
          <a:off x="8531542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10</xdr:row>
      <xdr:rowOff>0</xdr:rowOff>
    </xdr:from>
    <xdr:to>
      <xdr:col>116</xdr:col>
      <xdr:colOff>0</xdr:colOff>
      <xdr:row>13</xdr:row>
      <xdr:rowOff>0</xdr:rowOff>
    </xdr:to>
    <xdr:sp>
      <xdr:nvSpPr>
        <xdr:cNvPr id="273" name="Rectangle 299"/>
        <xdr:cNvSpPr>
          <a:spLocks/>
        </xdr:cNvSpPr>
      </xdr:nvSpPr>
      <xdr:spPr>
        <a:xfrm>
          <a:off x="82696050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14</xdr:row>
      <xdr:rowOff>0</xdr:rowOff>
    </xdr:from>
    <xdr:to>
      <xdr:col>116</xdr:col>
      <xdr:colOff>0</xdr:colOff>
      <xdr:row>16</xdr:row>
      <xdr:rowOff>0</xdr:rowOff>
    </xdr:to>
    <xdr:sp>
      <xdr:nvSpPr>
        <xdr:cNvPr id="274" name="Rectangle 300"/>
        <xdr:cNvSpPr>
          <a:spLocks/>
        </xdr:cNvSpPr>
      </xdr:nvSpPr>
      <xdr:spPr>
        <a:xfrm>
          <a:off x="8269605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116</xdr:col>
      <xdr:colOff>0</xdr:colOff>
      <xdr:row>19</xdr:row>
      <xdr:rowOff>0</xdr:rowOff>
    </xdr:to>
    <xdr:sp>
      <xdr:nvSpPr>
        <xdr:cNvPr id="275" name="Rectangle 301"/>
        <xdr:cNvSpPr>
          <a:spLocks/>
        </xdr:cNvSpPr>
      </xdr:nvSpPr>
      <xdr:spPr>
        <a:xfrm>
          <a:off x="8269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117</xdr:col>
      <xdr:colOff>0</xdr:colOff>
      <xdr:row>19</xdr:row>
      <xdr:rowOff>0</xdr:rowOff>
    </xdr:to>
    <xdr:sp>
      <xdr:nvSpPr>
        <xdr:cNvPr id="276" name="Rectangle 302"/>
        <xdr:cNvSpPr>
          <a:spLocks/>
        </xdr:cNvSpPr>
      </xdr:nvSpPr>
      <xdr:spPr>
        <a:xfrm>
          <a:off x="8531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14</xdr:row>
      <xdr:rowOff>0</xdr:rowOff>
    </xdr:from>
    <xdr:to>
      <xdr:col>117</xdr:col>
      <xdr:colOff>0</xdr:colOff>
      <xdr:row>16</xdr:row>
      <xdr:rowOff>0</xdr:rowOff>
    </xdr:to>
    <xdr:sp>
      <xdr:nvSpPr>
        <xdr:cNvPr id="277" name="Rectangle 303"/>
        <xdr:cNvSpPr>
          <a:spLocks/>
        </xdr:cNvSpPr>
      </xdr:nvSpPr>
      <xdr:spPr>
        <a:xfrm>
          <a:off x="8531542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10</xdr:row>
      <xdr:rowOff>0</xdr:rowOff>
    </xdr:from>
    <xdr:to>
      <xdr:col>113</xdr:col>
      <xdr:colOff>0</xdr:colOff>
      <xdr:row>13</xdr:row>
      <xdr:rowOff>0</xdr:rowOff>
    </xdr:to>
    <xdr:sp>
      <xdr:nvSpPr>
        <xdr:cNvPr id="278" name="Rectangle 304"/>
        <xdr:cNvSpPr>
          <a:spLocks/>
        </xdr:cNvSpPr>
      </xdr:nvSpPr>
      <xdr:spPr>
        <a:xfrm>
          <a:off x="82696050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14</xdr:row>
      <xdr:rowOff>0</xdr:rowOff>
    </xdr:from>
    <xdr:to>
      <xdr:col>113</xdr:col>
      <xdr:colOff>0</xdr:colOff>
      <xdr:row>16</xdr:row>
      <xdr:rowOff>0</xdr:rowOff>
    </xdr:to>
    <xdr:sp>
      <xdr:nvSpPr>
        <xdr:cNvPr id="279" name="Rectangle 305"/>
        <xdr:cNvSpPr>
          <a:spLocks/>
        </xdr:cNvSpPr>
      </xdr:nvSpPr>
      <xdr:spPr>
        <a:xfrm>
          <a:off x="8269605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113</xdr:col>
      <xdr:colOff>0</xdr:colOff>
      <xdr:row>19</xdr:row>
      <xdr:rowOff>0</xdr:rowOff>
    </xdr:to>
    <xdr:sp>
      <xdr:nvSpPr>
        <xdr:cNvPr id="280" name="Rectangle 306"/>
        <xdr:cNvSpPr>
          <a:spLocks/>
        </xdr:cNvSpPr>
      </xdr:nvSpPr>
      <xdr:spPr>
        <a:xfrm>
          <a:off x="8269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9</xdr:row>
      <xdr:rowOff>0</xdr:rowOff>
    </xdr:from>
    <xdr:to>
      <xdr:col>120</xdr:col>
      <xdr:colOff>0</xdr:colOff>
      <xdr:row>13</xdr:row>
      <xdr:rowOff>0</xdr:rowOff>
    </xdr:to>
    <xdr:sp>
      <xdr:nvSpPr>
        <xdr:cNvPr id="281" name="Rectangle 307"/>
        <xdr:cNvSpPr>
          <a:spLocks/>
        </xdr:cNvSpPr>
      </xdr:nvSpPr>
      <xdr:spPr>
        <a:xfrm>
          <a:off x="863631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9</xdr:row>
      <xdr:rowOff>0</xdr:rowOff>
    </xdr:from>
    <xdr:to>
      <xdr:col>117</xdr:col>
      <xdr:colOff>0</xdr:colOff>
      <xdr:row>13</xdr:row>
      <xdr:rowOff>0</xdr:rowOff>
    </xdr:to>
    <xdr:sp>
      <xdr:nvSpPr>
        <xdr:cNvPr id="282" name="Rectangle 308"/>
        <xdr:cNvSpPr>
          <a:spLocks/>
        </xdr:cNvSpPr>
      </xdr:nvSpPr>
      <xdr:spPr>
        <a:xfrm>
          <a:off x="8531542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9</xdr:row>
      <xdr:rowOff>0</xdr:rowOff>
    </xdr:from>
    <xdr:to>
      <xdr:col>116</xdr:col>
      <xdr:colOff>0</xdr:colOff>
      <xdr:row>13</xdr:row>
      <xdr:rowOff>0</xdr:rowOff>
    </xdr:to>
    <xdr:sp>
      <xdr:nvSpPr>
        <xdr:cNvPr id="283" name="Rectangle 309"/>
        <xdr:cNvSpPr>
          <a:spLocks/>
        </xdr:cNvSpPr>
      </xdr:nvSpPr>
      <xdr:spPr>
        <a:xfrm>
          <a:off x="833723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9</xdr:row>
      <xdr:rowOff>0</xdr:rowOff>
    </xdr:from>
    <xdr:to>
      <xdr:col>113</xdr:col>
      <xdr:colOff>0</xdr:colOff>
      <xdr:row>13</xdr:row>
      <xdr:rowOff>0</xdr:rowOff>
    </xdr:to>
    <xdr:sp>
      <xdr:nvSpPr>
        <xdr:cNvPr id="284" name="Rectangle 310"/>
        <xdr:cNvSpPr>
          <a:spLocks/>
        </xdr:cNvSpPr>
      </xdr:nvSpPr>
      <xdr:spPr>
        <a:xfrm>
          <a:off x="8269605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14</xdr:row>
      <xdr:rowOff>0</xdr:rowOff>
    </xdr:from>
    <xdr:to>
      <xdr:col>120</xdr:col>
      <xdr:colOff>0</xdr:colOff>
      <xdr:row>16</xdr:row>
      <xdr:rowOff>0</xdr:rowOff>
    </xdr:to>
    <xdr:sp>
      <xdr:nvSpPr>
        <xdr:cNvPr id="285" name="Rectangle 311"/>
        <xdr:cNvSpPr>
          <a:spLocks/>
        </xdr:cNvSpPr>
      </xdr:nvSpPr>
      <xdr:spPr>
        <a:xfrm>
          <a:off x="8636317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17</xdr:row>
      <xdr:rowOff>0</xdr:rowOff>
    </xdr:from>
    <xdr:to>
      <xdr:col>120</xdr:col>
      <xdr:colOff>0</xdr:colOff>
      <xdr:row>19</xdr:row>
      <xdr:rowOff>0</xdr:rowOff>
    </xdr:to>
    <xdr:sp>
      <xdr:nvSpPr>
        <xdr:cNvPr id="286" name="Rectangle 312"/>
        <xdr:cNvSpPr>
          <a:spLocks/>
        </xdr:cNvSpPr>
      </xdr:nvSpPr>
      <xdr:spPr>
        <a:xfrm>
          <a:off x="8636317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9</xdr:row>
      <xdr:rowOff>0</xdr:rowOff>
    </xdr:from>
    <xdr:to>
      <xdr:col>131</xdr:col>
      <xdr:colOff>0</xdr:colOff>
      <xdr:row>13</xdr:row>
      <xdr:rowOff>0</xdr:rowOff>
    </xdr:to>
    <xdr:sp>
      <xdr:nvSpPr>
        <xdr:cNvPr id="287" name="Rectangle 313"/>
        <xdr:cNvSpPr>
          <a:spLocks/>
        </xdr:cNvSpPr>
      </xdr:nvSpPr>
      <xdr:spPr>
        <a:xfrm>
          <a:off x="944594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9</xdr:row>
      <xdr:rowOff>0</xdr:rowOff>
    </xdr:from>
    <xdr:to>
      <xdr:col>128</xdr:col>
      <xdr:colOff>0</xdr:colOff>
      <xdr:row>13</xdr:row>
      <xdr:rowOff>0</xdr:rowOff>
    </xdr:to>
    <xdr:sp>
      <xdr:nvSpPr>
        <xdr:cNvPr id="288" name="Rectangle 314"/>
        <xdr:cNvSpPr>
          <a:spLocks/>
        </xdr:cNvSpPr>
      </xdr:nvSpPr>
      <xdr:spPr>
        <a:xfrm>
          <a:off x="934116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9</xdr:row>
      <xdr:rowOff>0</xdr:rowOff>
    </xdr:from>
    <xdr:to>
      <xdr:col>127</xdr:col>
      <xdr:colOff>0</xdr:colOff>
      <xdr:row>13</xdr:row>
      <xdr:rowOff>0</xdr:rowOff>
    </xdr:to>
    <xdr:sp>
      <xdr:nvSpPr>
        <xdr:cNvPr id="289" name="Rectangle 315"/>
        <xdr:cNvSpPr>
          <a:spLocks/>
        </xdr:cNvSpPr>
      </xdr:nvSpPr>
      <xdr:spPr>
        <a:xfrm>
          <a:off x="90792300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14</xdr:row>
      <xdr:rowOff>0</xdr:rowOff>
    </xdr:from>
    <xdr:to>
      <xdr:col>127</xdr:col>
      <xdr:colOff>0</xdr:colOff>
      <xdr:row>16</xdr:row>
      <xdr:rowOff>0</xdr:rowOff>
    </xdr:to>
    <xdr:sp>
      <xdr:nvSpPr>
        <xdr:cNvPr id="290" name="Rectangle 316"/>
        <xdr:cNvSpPr>
          <a:spLocks/>
        </xdr:cNvSpPr>
      </xdr:nvSpPr>
      <xdr:spPr>
        <a:xfrm>
          <a:off x="907923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127</xdr:col>
      <xdr:colOff>0</xdr:colOff>
      <xdr:row>19</xdr:row>
      <xdr:rowOff>0</xdr:rowOff>
    </xdr:to>
    <xdr:sp>
      <xdr:nvSpPr>
        <xdr:cNvPr id="291" name="Rectangle 317"/>
        <xdr:cNvSpPr>
          <a:spLocks/>
        </xdr:cNvSpPr>
      </xdr:nvSpPr>
      <xdr:spPr>
        <a:xfrm>
          <a:off x="90792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17</xdr:row>
      <xdr:rowOff>0</xdr:rowOff>
    </xdr:from>
    <xdr:to>
      <xdr:col>128</xdr:col>
      <xdr:colOff>0</xdr:colOff>
      <xdr:row>19</xdr:row>
      <xdr:rowOff>0</xdr:rowOff>
    </xdr:to>
    <xdr:sp>
      <xdr:nvSpPr>
        <xdr:cNvPr id="292" name="Rectangle 318"/>
        <xdr:cNvSpPr>
          <a:spLocks/>
        </xdr:cNvSpPr>
      </xdr:nvSpPr>
      <xdr:spPr>
        <a:xfrm>
          <a:off x="93411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14</xdr:row>
      <xdr:rowOff>0</xdr:rowOff>
    </xdr:from>
    <xdr:to>
      <xdr:col>128</xdr:col>
      <xdr:colOff>0</xdr:colOff>
      <xdr:row>16</xdr:row>
      <xdr:rowOff>0</xdr:rowOff>
    </xdr:to>
    <xdr:sp>
      <xdr:nvSpPr>
        <xdr:cNvPr id="293" name="Rectangle 319"/>
        <xdr:cNvSpPr>
          <a:spLocks/>
        </xdr:cNvSpPr>
      </xdr:nvSpPr>
      <xdr:spPr>
        <a:xfrm>
          <a:off x="934116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9</xdr:row>
      <xdr:rowOff>0</xdr:rowOff>
    </xdr:from>
    <xdr:to>
      <xdr:col>124</xdr:col>
      <xdr:colOff>0</xdr:colOff>
      <xdr:row>13</xdr:row>
      <xdr:rowOff>0</xdr:rowOff>
    </xdr:to>
    <xdr:sp>
      <xdr:nvSpPr>
        <xdr:cNvPr id="294" name="Rectangle 320"/>
        <xdr:cNvSpPr>
          <a:spLocks/>
        </xdr:cNvSpPr>
      </xdr:nvSpPr>
      <xdr:spPr>
        <a:xfrm>
          <a:off x="907923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14</xdr:row>
      <xdr:rowOff>0</xdr:rowOff>
    </xdr:from>
    <xdr:to>
      <xdr:col>124</xdr:col>
      <xdr:colOff>0</xdr:colOff>
      <xdr:row>16</xdr:row>
      <xdr:rowOff>0</xdr:rowOff>
    </xdr:to>
    <xdr:sp>
      <xdr:nvSpPr>
        <xdr:cNvPr id="295" name="Rectangle 321"/>
        <xdr:cNvSpPr>
          <a:spLocks/>
        </xdr:cNvSpPr>
      </xdr:nvSpPr>
      <xdr:spPr>
        <a:xfrm>
          <a:off x="907923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124</xdr:col>
      <xdr:colOff>0</xdr:colOff>
      <xdr:row>19</xdr:row>
      <xdr:rowOff>0</xdr:rowOff>
    </xdr:to>
    <xdr:sp>
      <xdr:nvSpPr>
        <xdr:cNvPr id="296" name="Rectangle 322"/>
        <xdr:cNvSpPr>
          <a:spLocks/>
        </xdr:cNvSpPr>
      </xdr:nvSpPr>
      <xdr:spPr>
        <a:xfrm>
          <a:off x="90792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10</xdr:row>
      <xdr:rowOff>0</xdr:rowOff>
    </xdr:from>
    <xdr:to>
      <xdr:col>131</xdr:col>
      <xdr:colOff>0</xdr:colOff>
      <xdr:row>13</xdr:row>
      <xdr:rowOff>0</xdr:rowOff>
    </xdr:to>
    <xdr:sp>
      <xdr:nvSpPr>
        <xdr:cNvPr id="297" name="Rectangle 323"/>
        <xdr:cNvSpPr>
          <a:spLocks/>
        </xdr:cNvSpPr>
      </xdr:nvSpPr>
      <xdr:spPr>
        <a:xfrm>
          <a:off x="9445942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10</xdr:row>
      <xdr:rowOff>0</xdr:rowOff>
    </xdr:from>
    <xdr:to>
      <xdr:col>128</xdr:col>
      <xdr:colOff>0</xdr:colOff>
      <xdr:row>13</xdr:row>
      <xdr:rowOff>0</xdr:rowOff>
    </xdr:to>
    <xdr:sp>
      <xdr:nvSpPr>
        <xdr:cNvPr id="298" name="Rectangle 324"/>
        <xdr:cNvSpPr>
          <a:spLocks/>
        </xdr:cNvSpPr>
      </xdr:nvSpPr>
      <xdr:spPr>
        <a:xfrm>
          <a:off x="93411675" y="1638300"/>
          <a:ext cx="10477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10</xdr:row>
      <xdr:rowOff>0</xdr:rowOff>
    </xdr:from>
    <xdr:to>
      <xdr:col>127</xdr:col>
      <xdr:colOff>0</xdr:colOff>
      <xdr:row>13</xdr:row>
      <xdr:rowOff>0</xdr:rowOff>
    </xdr:to>
    <xdr:sp>
      <xdr:nvSpPr>
        <xdr:cNvPr id="299" name="Rectangle 325"/>
        <xdr:cNvSpPr>
          <a:spLocks/>
        </xdr:cNvSpPr>
      </xdr:nvSpPr>
      <xdr:spPr>
        <a:xfrm>
          <a:off x="90792300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14</xdr:row>
      <xdr:rowOff>0</xdr:rowOff>
    </xdr:from>
    <xdr:to>
      <xdr:col>127</xdr:col>
      <xdr:colOff>0</xdr:colOff>
      <xdr:row>16</xdr:row>
      <xdr:rowOff>0</xdr:rowOff>
    </xdr:to>
    <xdr:sp>
      <xdr:nvSpPr>
        <xdr:cNvPr id="300" name="Rectangle 326"/>
        <xdr:cNvSpPr>
          <a:spLocks/>
        </xdr:cNvSpPr>
      </xdr:nvSpPr>
      <xdr:spPr>
        <a:xfrm>
          <a:off x="90792300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127</xdr:col>
      <xdr:colOff>0</xdr:colOff>
      <xdr:row>19</xdr:row>
      <xdr:rowOff>0</xdr:rowOff>
    </xdr:to>
    <xdr:sp>
      <xdr:nvSpPr>
        <xdr:cNvPr id="301" name="Rectangle 327"/>
        <xdr:cNvSpPr>
          <a:spLocks/>
        </xdr:cNvSpPr>
      </xdr:nvSpPr>
      <xdr:spPr>
        <a:xfrm>
          <a:off x="90792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17</xdr:row>
      <xdr:rowOff>0</xdr:rowOff>
    </xdr:from>
    <xdr:to>
      <xdr:col>128</xdr:col>
      <xdr:colOff>0</xdr:colOff>
      <xdr:row>19</xdr:row>
      <xdr:rowOff>0</xdr:rowOff>
    </xdr:to>
    <xdr:sp>
      <xdr:nvSpPr>
        <xdr:cNvPr id="302" name="Rectangle 328"/>
        <xdr:cNvSpPr>
          <a:spLocks/>
        </xdr:cNvSpPr>
      </xdr:nvSpPr>
      <xdr:spPr>
        <a:xfrm>
          <a:off x="93411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14</xdr:row>
      <xdr:rowOff>0</xdr:rowOff>
    </xdr:from>
    <xdr:to>
      <xdr:col>128</xdr:col>
      <xdr:colOff>0</xdr:colOff>
      <xdr:row>16</xdr:row>
      <xdr:rowOff>0</xdr:rowOff>
    </xdr:to>
    <xdr:sp>
      <xdr:nvSpPr>
        <xdr:cNvPr id="303" name="Rectangle 329"/>
        <xdr:cNvSpPr>
          <a:spLocks/>
        </xdr:cNvSpPr>
      </xdr:nvSpPr>
      <xdr:spPr>
        <a:xfrm>
          <a:off x="93411675" y="2314575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10</xdr:row>
      <xdr:rowOff>0</xdr:rowOff>
    </xdr:from>
    <xdr:to>
      <xdr:col>124</xdr:col>
      <xdr:colOff>0</xdr:colOff>
      <xdr:row>13</xdr:row>
      <xdr:rowOff>0</xdr:rowOff>
    </xdr:to>
    <xdr:sp>
      <xdr:nvSpPr>
        <xdr:cNvPr id="304" name="Rectangle 330"/>
        <xdr:cNvSpPr>
          <a:spLocks/>
        </xdr:cNvSpPr>
      </xdr:nvSpPr>
      <xdr:spPr>
        <a:xfrm>
          <a:off x="90792300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14</xdr:row>
      <xdr:rowOff>0</xdr:rowOff>
    </xdr:from>
    <xdr:to>
      <xdr:col>124</xdr:col>
      <xdr:colOff>0</xdr:colOff>
      <xdr:row>16</xdr:row>
      <xdr:rowOff>0</xdr:rowOff>
    </xdr:to>
    <xdr:sp>
      <xdr:nvSpPr>
        <xdr:cNvPr id="305" name="Rectangle 331"/>
        <xdr:cNvSpPr>
          <a:spLocks/>
        </xdr:cNvSpPr>
      </xdr:nvSpPr>
      <xdr:spPr>
        <a:xfrm>
          <a:off x="90792300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124</xdr:col>
      <xdr:colOff>0</xdr:colOff>
      <xdr:row>19</xdr:row>
      <xdr:rowOff>0</xdr:rowOff>
    </xdr:to>
    <xdr:sp>
      <xdr:nvSpPr>
        <xdr:cNvPr id="306" name="Rectangle 332"/>
        <xdr:cNvSpPr>
          <a:spLocks/>
        </xdr:cNvSpPr>
      </xdr:nvSpPr>
      <xdr:spPr>
        <a:xfrm>
          <a:off x="90792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9</xdr:row>
      <xdr:rowOff>0</xdr:rowOff>
    </xdr:from>
    <xdr:to>
      <xdr:col>131</xdr:col>
      <xdr:colOff>0</xdr:colOff>
      <xdr:row>13</xdr:row>
      <xdr:rowOff>0</xdr:rowOff>
    </xdr:to>
    <xdr:sp>
      <xdr:nvSpPr>
        <xdr:cNvPr id="307" name="Rectangle 333"/>
        <xdr:cNvSpPr>
          <a:spLocks/>
        </xdr:cNvSpPr>
      </xdr:nvSpPr>
      <xdr:spPr>
        <a:xfrm>
          <a:off x="944594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9</xdr:row>
      <xdr:rowOff>0</xdr:rowOff>
    </xdr:from>
    <xdr:to>
      <xdr:col>128</xdr:col>
      <xdr:colOff>0</xdr:colOff>
      <xdr:row>13</xdr:row>
      <xdr:rowOff>0</xdr:rowOff>
    </xdr:to>
    <xdr:sp>
      <xdr:nvSpPr>
        <xdr:cNvPr id="308" name="Rectangle 334"/>
        <xdr:cNvSpPr>
          <a:spLocks/>
        </xdr:cNvSpPr>
      </xdr:nvSpPr>
      <xdr:spPr>
        <a:xfrm>
          <a:off x="93411675" y="1466850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0</xdr:colOff>
      <xdr:row>9</xdr:row>
      <xdr:rowOff>0</xdr:rowOff>
    </xdr:from>
    <xdr:to>
      <xdr:col>127</xdr:col>
      <xdr:colOff>0</xdr:colOff>
      <xdr:row>13</xdr:row>
      <xdr:rowOff>0</xdr:rowOff>
    </xdr:to>
    <xdr:sp>
      <xdr:nvSpPr>
        <xdr:cNvPr id="309" name="Rectangle 335"/>
        <xdr:cNvSpPr>
          <a:spLocks/>
        </xdr:cNvSpPr>
      </xdr:nvSpPr>
      <xdr:spPr>
        <a:xfrm>
          <a:off x="9146857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9</xdr:row>
      <xdr:rowOff>0</xdr:rowOff>
    </xdr:from>
    <xdr:to>
      <xdr:col>124</xdr:col>
      <xdr:colOff>0</xdr:colOff>
      <xdr:row>13</xdr:row>
      <xdr:rowOff>0</xdr:rowOff>
    </xdr:to>
    <xdr:sp>
      <xdr:nvSpPr>
        <xdr:cNvPr id="310" name="Rectangle 336"/>
        <xdr:cNvSpPr>
          <a:spLocks/>
        </xdr:cNvSpPr>
      </xdr:nvSpPr>
      <xdr:spPr>
        <a:xfrm>
          <a:off x="90792300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14</xdr:row>
      <xdr:rowOff>0</xdr:rowOff>
    </xdr:from>
    <xdr:to>
      <xdr:col>131</xdr:col>
      <xdr:colOff>0</xdr:colOff>
      <xdr:row>16</xdr:row>
      <xdr:rowOff>0</xdr:rowOff>
    </xdr:to>
    <xdr:sp>
      <xdr:nvSpPr>
        <xdr:cNvPr id="311" name="Rectangle 337"/>
        <xdr:cNvSpPr>
          <a:spLocks/>
        </xdr:cNvSpPr>
      </xdr:nvSpPr>
      <xdr:spPr>
        <a:xfrm>
          <a:off x="9445942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17</xdr:row>
      <xdr:rowOff>0</xdr:rowOff>
    </xdr:from>
    <xdr:to>
      <xdr:col>131</xdr:col>
      <xdr:colOff>0</xdr:colOff>
      <xdr:row>19</xdr:row>
      <xdr:rowOff>0</xdr:rowOff>
    </xdr:to>
    <xdr:sp>
      <xdr:nvSpPr>
        <xdr:cNvPr id="312" name="Rectangle 338"/>
        <xdr:cNvSpPr>
          <a:spLocks/>
        </xdr:cNvSpPr>
      </xdr:nvSpPr>
      <xdr:spPr>
        <a:xfrm>
          <a:off x="944594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9</xdr:row>
      <xdr:rowOff>0</xdr:rowOff>
    </xdr:from>
    <xdr:to>
      <xdr:col>142</xdr:col>
      <xdr:colOff>0</xdr:colOff>
      <xdr:row>13</xdr:row>
      <xdr:rowOff>0</xdr:rowOff>
    </xdr:to>
    <xdr:sp>
      <xdr:nvSpPr>
        <xdr:cNvPr id="313" name="Rectangle 339"/>
        <xdr:cNvSpPr>
          <a:spLocks/>
        </xdr:cNvSpPr>
      </xdr:nvSpPr>
      <xdr:spPr>
        <a:xfrm>
          <a:off x="1025747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9</xdr:row>
      <xdr:rowOff>0</xdr:rowOff>
    </xdr:from>
    <xdr:to>
      <xdr:col>139</xdr:col>
      <xdr:colOff>0</xdr:colOff>
      <xdr:row>13</xdr:row>
      <xdr:rowOff>0</xdr:rowOff>
    </xdr:to>
    <xdr:sp>
      <xdr:nvSpPr>
        <xdr:cNvPr id="314" name="Rectangle 340"/>
        <xdr:cNvSpPr>
          <a:spLocks/>
        </xdr:cNvSpPr>
      </xdr:nvSpPr>
      <xdr:spPr>
        <a:xfrm>
          <a:off x="101517450" y="1466850"/>
          <a:ext cx="1057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9</xdr:row>
      <xdr:rowOff>0</xdr:rowOff>
    </xdr:from>
    <xdr:to>
      <xdr:col>138</xdr:col>
      <xdr:colOff>0</xdr:colOff>
      <xdr:row>13</xdr:row>
      <xdr:rowOff>0</xdr:rowOff>
    </xdr:to>
    <xdr:sp>
      <xdr:nvSpPr>
        <xdr:cNvPr id="315" name="Rectangle 341"/>
        <xdr:cNvSpPr>
          <a:spLocks/>
        </xdr:cNvSpPr>
      </xdr:nvSpPr>
      <xdr:spPr>
        <a:xfrm>
          <a:off x="98898075" y="1466850"/>
          <a:ext cx="2619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14</xdr:row>
      <xdr:rowOff>0</xdr:rowOff>
    </xdr:from>
    <xdr:to>
      <xdr:col>138</xdr:col>
      <xdr:colOff>0</xdr:colOff>
      <xdr:row>16</xdr:row>
      <xdr:rowOff>0</xdr:rowOff>
    </xdr:to>
    <xdr:sp>
      <xdr:nvSpPr>
        <xdr:cNvPr id="316" name="Rectangle 342"/>
        <xdr:cNvSpPr>
          <a:spLocks/>
        </xdr:cNvSpPr>
      </xdr:nvSpPr>
      <xdr:spPr>
        <a:xfrm>
          <a:off x="9889807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19</xdr:row>
      <xdr:rowOff>0</xdr:rowOff>
    </xdr:to>
    <xdr:sp>
      <xdr:nvSpPr>
        <xdr:cNvPr id="317" name="Rectangle 343"/>
        <xdr:cNvSpPr>
          <a:spLocks/>
        </xdr:cNvSpPr>
      </xdr:nvSpPr>
      <xdr:spPr>
        <a:xfrm>
          <a:off x="988980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17</xdr:row>
      <xdr:rowOff>0</xdr:rowOff>
    </xdr:from>
    <xdr:to>
      <xdr:col>139</xdr:col>
      <xdr:colOff>0</xdr:colOff>
      <xdr:row>19</xdr:row>
      <xdr:rowOff>0</xdr:rowOff>
    </xdr:to>
    <xdr:sp>
      <xdr:nvSpPr>
        <xdr:cNvPr id="318" name="Rectangle 344"/>
        <xdr:cNvSpPr>
          <a:spLocks/>
        </xdr:cNvSpPr>
      </xdr:nvSpPr>
      <xdr:spPr>
        <a:xfrm>
          <a:off x="101517450" y="2819400"/>
          <a:ext cx="1057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14</xdr:row>
      <xdr:rowOff>0</xdr:rowOff>
    </xdr:from>
    <xdr:to>
      <xdr:col>139</xdr:col>
      <xdr:colOff>0</xdr:colOff>
      <xdr:row>16</xdr:row>
      <xdr:rowOff>0</xdr:rowOff>
    </xdr:to>
    <xdr:sp>
      <xdr:nvSpPr>
        <xdr:cNvPr id="319" name="Rectangle 345"/>
        <xdr:cNvSpPr>
          <a:spLocks/>
        </xdr:cNvSpPr>
      </xdr:nvSpPr>
      <xdr:spPr>
        <a:xfrm>
          <a:off x="101517450" y="2314575"/>
          <a:ext cx="1057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9</xdr:row>
      <xdr:rowOff>0</xdr:rowOff>
    </xdr:from>
    <xdr:to>
      <xdr:col>135</xdr:col>
      <xdr:colOff>0</xdr:colOff>
      <xdr:row>13</xdr:row>
      <xdr:rowOff>0</xdr:rowOff>
    </xdr:to>
    <xdr:sp>
      <xdr:nvSpPr>
        <xdr:cNvPr id="320" name="Rectangle 346"/>
        <xdr:cNvSpPr>
          <a:spLocks/>
        </xdr:cNvSpPr>
      </xdr:nvSpPr>
      <xdr:spPr>
        <a:xfrm>
          <a:off x="9889807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14</xdr:row>
      <xdr:rowOff>0</xdr:rowOff>
    </xdr:from>
    <xdr:to>
      <xdr:col>135</xdr:col>
      <xdr:colOff>0</xdr:colOff>
      <xdr:row>16</xdr:row>
      <xdr:rowOff>0</xdr:rowOff>
    </xdr:to>
    <xdr:sp>
      <xdr:nvSpPr>
        <xdr:cNvPr id="321" name="Rectangle 347"/>
        <xdr:cNvSpPr>
          <a:spLocks/>
        </xdr:cNvSpPr>
      </xdr:nvSpPr>
      <xdr:spPr>
        <a:xfrm>
          <a:off x="9889807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135</xdr:col>
      <xdr:colOff>0</xdr:colOff>
      <xdr:row>19</xdr:row>
      <xdr:rowOff>0</xdr:rowOff>
    </xdr:to>
    <xdr:sp>
      <xdr:nvSpPr>
        <xdr:cNvPr id="322" name="Rectangle 348"/>
        <xdr:cNvSpPr>
          <a:spLocks/>
        </xdr:cNvSpPr>
      </xdr:nvSpPr>
      <xdr:spPr>
        <a:xfrm>
          <a:off x="988980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10</xdr:row>
      <xdr:rowOff>0</xdr:rowOff>
    </xdr:from>
    <xdr:to>
      <xdr:col>142</xdr:col>
      <xdr:colOff>0</xdr:colOff>
      <xdr:row>13</xdr:row>
      <xdr:rowOff>0</xdr:rowOff>
    </xdr:to>
    <xdr:sp>
      <xdr:nvSpPr>
        <xdr:cNvPr id="323" name="Rectangle 349"/>
        <xdr:cNvSpPr>
          <a:spLocks/>
        </xdr:cNvSpPr>
      </xdr:nvSpPr>
      <xdr:spPr>
        <a:xfrm>
          <a:off x="102574725" y="1638300"/>
          <a:ext cx="19431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10</xdr:row>
      <xdr:rowOff>0</xdr:rowOff>
    </xdr:from>
    <xdr:to>
      <xdr:col>139</xdr:col>
      <xdr:colOff>0</xdr:colOff>
      <xdr:row>13</xdr:row>
      <xdr:rowOff>0</xdr:rowOff>
    </xdr:to>
    <xdr:sp>
      <xdr:nvSpPr>
        <xdr:cNvPr id="324" name="Rectangle 350"/>
        <xdr:cNvSpPr>
          <a:spLocks/>
        </xdr:cNvSpPr>
      </xdr:nvSpPr>
      <xdr:spPr>
        <a:xfrm>
          <a:off x="101517450" y="1638300"/>
          <a:ext cx="1057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10</xdr:row>
      <xdr:rowOff>0</xdr:rowOff>
    </xdr:from>
    <xdr:to>
      <xdr:col>138</xdr:col>
      <xdr:colOff>0</xdr:colOff>
      <xdr:row>13</xdr:row>
      <xdr:rowOff>0</xdr:rowOff>
    </xdr:to>
    <xdr:sp>
      <xdr:nvSpPr>
        <xdr:cNvPr id="325" name="Rectangle 351"/>
        <xdr:cNvSpPr>
          <a:spLocks/>
        </xdr:cNvSpPr>
      </xdr:nvSpPr>
      <xdr:spPr>
        <a:xfrm>
          <a:off x="98898075" y="1638300"/>
          <a:ext cx="26193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14</xdr:row>
      <xdr:rowOff>0</xdr:rowOff>
    </xdr:from>
    <xdr:to>
      <xdr:col>138</xdr:col>
      <xdr:colOff>0</xdr:colOff>
      <xdr:row>16</xdr:row>
      <xdr:rowOff>0</xdr:rowOff>
    </xdr:to>
    <xdr:sp>
      <xdr:nvSpPr>
        <xdr:cNvPr id="326" name="Rectangle 352"/>
        <xdr:cNvSpPr>
          <a:spLocks/>
        </xdr:cNvSpPr>
      </xdr:nvSpPr>
      <xdr:spPr>
        <a:xfrm>
          <a:off x="98898075" y="2314575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19</xdr:row>
      <xdr:rowOff>0</xdr:rowOff>
    </xdr:to>
    <xdr:sp>
      <xdr:nvSpPr>
        <xdr:cNvPr id="327" name="Rectangle 353"/>
        <xdr:cNvSpPr>
          <a:spLocks/>
        </xdr:cNvSpPr>
      </xdr:nvSpPr>
      <xdr:spPr>
        <a:xfrm>
          <a:off x="988980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17</xdr:row>
      <xdr:rowOff>0</xdr:rowOff>
    </xdr:from>
    <xdr:to>
      <xdr:col>139</xdr:col>
      <xdr:colOff>0</xdr:colOff>
      <xdr:row>19</xdr:row>
      <xdr:rowOff>0</xdr:rowOff>
    </xdr:to>
    <xdr:sp>
      <xdr:nvSpPr>
        <xdr:cNvPr id="328" name="Rectangle 354"/>
        <xdr:cNvSpPr>
          <a:spLocks/>
        </xdr:cNvSpPr>
      </xdr:nvSpPr>
      <xdr:spPr>
        <a:xfrm>
          <a:off x="101517450" y="2819400"/>
          <a:ext cx="1057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14</xdr:row>
      <xdr:rowOff>0</xdr:rowOff>
    </xdr:from>
    <xdr:to>
      <xdr:col>139</xdr:col>
      <xdr:colOff>0</xdr:colOff>
      <xdr:row>16</xdr:row>
      <xdr:rowOff>0</xdr:rowOff>
    </xdr:to>
    <xdr:sp>
      <xdr:nvSpPr>
        <xdr:cNvPr id="329" name="Rectangle 355"/>
        <xdr:cNvSpPr>
          <a:spLocks/>
        </xdr:cNvSpPr>
      </xdr:nvSpPr>
      <xdr:spPr>
        <a:xfrm>
          <a:off x="101517450" y="2314575"/>
          <a:ext cx="1057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10</xdr:row>
      <xdr:rowOff>0</xdr:rowOff>
    </xdr:from>
    <xdr:to>
      <xdr:col>135</xdr:col>
      <xdr:colOff>0</xdr:colOff>
      <xdr:row>13</xdr:row>
      <xdr:rowOff>0</xdr:rowOff>
    </xdr:to>
    <xdr:sp>
      <xdr:nvSpPr>
        <xdr:cNvPr id="330" name="Rectangle 356"/>
        <xdr:cNvSpPr>
          <a:spLocks/>
        </xdr:cNvSpPr>
      </xdr:nvSpPr>
      <xdr:spPr>
        <a:xfrm>
          <a:off x="98898075" y="1638300"/>
          <a:ext cx="676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14</xdr:row>
      <xdr:rowOff>0</xdr:rowOff>
    </xdr:from>
    <xdr:to>
      <xdr:col>135</xdr:col>
      <xdr:colOff>0</xdr:colOff>
      <xdr:row>16</xdr:row>
      <xdr:rowOff>0</xdr:rowOff>
    </xdr:to>
    <xdr:sp>
      <xdr:nvSpPr>
        <xdr:cNvPr id="331" name="Rectangle 357"/>
        <xdr:cNvSpPr>
          <a:spLocks/>
        </xdr:cNvSpPr>
      </xdr:nvSpPr>
      <xdr:spPr>
        <a:xfrm>
          <a:off x="98898075" y="2314575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135</xdr:col>
      <xdr:colOff>0</xdr:colOff>
      <xdr:row>19</xdr:row>
      <xdr:rowOff>0</xdr:rowOff>
    </xdr:to>
    <xdr:sp>
      <xdr:nvSpPr>
        <xdr:cNvPr id="332" name="Rectangle 358"/>
        <xdr:cNvSpPr>
          <a:spLocks/>
        </xdr:cNvSpPr>
      </xdr:nvSpPr>
      <xdr:spPr>
        <a:xfrm>
          <a:off x="988980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9</xdr:row>
      <xdr:rowOff>0</xdr:rowOff>
    </xdr:from>
    <xdr:to>
      <xdr:col>142</xdr:col>
      <xdr:colOff>0</xdr:colOff>
      <xdr:row>13</xdr:row>
      <xdr:rowOff>0</xdr:rowOff>
    </xdr:to>
    <xdr:sp>
      <xdr:nvSpPr>
        <xdr:cNvPr id="333" name="Rectangle 359"/>
        <xdr:cNvSpPr>
          <a:spLocks/>
        </xdr:cNvSpPr>
      </xdr:nvSpPr>
      <xdr:spPr>
        <a:xfrm>
          <a:off x="102574725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9</xdr:row>
      <xdr:rowOff>0</xdr:rowOff>
    </xdr:from>
    <xdr:to>
      <xdr:col>139</xdr:col>
      <xdr:colOff>0</xdr:colOff>
      <xdr:row>13</xdr:row>
      <xdr:rowOff>0</xdr:rowOff>
    </xdr:to>
    <xdr:sp>
      <xdr:nvSpPr>
        <xdr:cNvPr id="334" name="Rectangle 360"/>
        <xdr:cNvSpPr>
          <a:spLocks/>
        </xdr:cNvSpPr>
      </xdr:nvSpPr>
      <xdr:spPr>
        <a:xfrm>
          <a:off x="101517450" y="1466850"/>
          <a:ext cx="1057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9</xdr:row>
      <xdr:rowOff>0</xdr:rowOff>
    </xdr:from>
    <xdr:to>
      <xdr:col>138</xdr:col>
      <xdr:colOff>0</xdr:colOff>
      <xdr:row>13</xdr:row>
      <xdr:rowOff>0</xdr:rowOff>
    </xdr:to>
    <xdr:sp>
      <xdr:nvSpPr>
        <xdr:cNvPr id="335" name="Rectangle 361"/>
        <xdr:cNvSpPr>
          <a:spLocks/>
        </xdr:cNvSpPr>
      </xdr:nvSpPr>
      <xdr:spPr>
        <a:xfrm>
          <a:off x="99574350" y="1466850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9</xdr:row>
      <xdr:rowOff>0</xdr:rowOff>
    </xdr:from>
    <xdr:to>
      <xdr:col>135</xdr:col>
      <xdr:colOff>0</xdr:colOff>
      <xdr:row>13</xdr:row>
      <xdr:rowOff>0</xdr:rowOff>
    </xdr:to>
    <xdr:sp>
      <xdr:nvSpPr>
        <xdr:cNvPr id="336" name="Rectangle 362"/>
        <xdr:cNvSpPr>
          <a:spLocks/>
        </xdr:cNvSpPr>
      </xdr:nvSpPr>
      <xdr:spPr>
        <a:xfrm>
          <a:off x="98898075" y="1466850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14</xdr:row>
      <xdr:rowOff>0</xdr:rowOff>
    </xdr:from>
    <xdr:to>
      <xdr:col>142</xdr:col>
      <xdr:colOff>0</xdr:colOff>
      <xdr:row>16</xdr:row>
      <xdr:rowOff>0</xdr:rowOff>
    </xdr:to>
    <xdr:sp>
      <xdr:nvSpPr>
        <xdr:cNvPr id="337" name="Rectangle 363"/>
        <xdr:cNvSpPr>
          <a:spLocks/>
        </xdr:cNvSpPr>
      </xdr:nvSpPr>
      <xdr:spPr>
        <a:xfrm>
          <a:off x="102574725" y="2314575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17</xdr:row>
      <xdr:rowOff>0</xdr:rowOff>
    </xdr:from>
    <xdr:to>
      <xdr:col>142</xdr:col>
      <xdr:colOff>0</xdr:colOff>
      <xdr:row>19</xdr:row>
      <xdr:rowOff>0</xdr:rowOff>
    </xdr:to>
    <xdr:sp>
      <xdr:nvSpPr>
        <xdr:cNvPr id="338" name="Rectangle 364"/>
        <xdr:cNvSpPr>
          <a:spLocks/>
        </xdr:cNvSpPr>
      </xdr:nvSpPr>
      <xdr:spPr>
        <a:xfrm>
          <a:off x="1025747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339" name="Rectangle 366"/>
        <xdr:cNvSpPr>
          <a:spLocks/>
        </xdr:cNvSpPr>
      </xdr:nvSpPr>
      <xdr:spPr>
        <a:xfrm>
          <a:off x="98298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340" name="Rectangle 367"/>
        <xdr:cNvSpPr>
          <a:spLocks/>
        </xdr:cNvSpPr>
      </xdr:nvSpPr>
      <xdr:spPr>
        <a:xfrm>
          <a:off x="124491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341" name="Rectangle 368"/>
        <xdr:cNvSpPr>
          <a:spLocks/>
        </xdr:cNvSpPr>
      </xdr:nvSpPr>
      <xdr:spPr>
        <a:xfrm>
          <a:off x="98298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342" name="Rectangle 369"/>
        <xdr:cNvSpPr>
          <a:spLocks/>
        </xdr:cNvSpPr>
      </xdr:nvSpPr>
      <xdr:spPr>
        <a:xfrm>
          <a:off x="98298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343" name="Rectangle 370"/>
        <xdr:cNvSpPr>
          <a:spLocks/>
        </xdr:cNvSpPr>
      </xdr:nvSpPr>
      <xdr:spPr>
        <a:xfrm>
          <a:off x="124491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344" name="Rectangle 371"/>
        <xdr:cNvSpPr>
          <a:spLocks/>
        </xdr:cNvSpPr>
      </xdr:nvSpPr>
      <xdr:spPr>
        <a:xfrm>
          <a:off x="98298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21</xdr:col>
      <xdr:colOff>0</xdr:colOff>
      <xdr:row>19</xdr:row>
      <xdr:rowOff>0</xdr:rowOff>
    </xdr:to>
    <xdr:sp>
      <xdr:nvSpPr>
        <xdr:cNvPr id="345" name="Rectangle 372"/>
        <xdr:cNvSpPr>
          <a:spLocks/>
        </xdr:cNvSpPr>
      </xdr:nvSpPr>
      <xdr:spPr>
        <a:xfrm>
          <a:off x="134969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28</xdr:col>
      <xdr:colOff>0</xdr:colOff>
      <xdr:row>19</xdr:row>
      <xdr:rowOff>0</xdr:rowOff>
    </xdr:to>
    <xdr:sp>
      <xdr:nvSpPr>
        <xdr:cNvPr id="346" name="Rectangle 373"/>
        <xdr:cNvSpPr>
          <a:spLocks/>
        </xdr:cNvSpPr>
      </xdr:nvSpPr>
      <xdr:spPr>
        <a:xfrm>
          <a:off x="1792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0</xdr:rowOff>
    </xdr:to>
    <xdr:sp>
      <xdr:nvSpPr>
        <xdr:cNvPr id="347" name="Rectangle 374"/>
        <xdr:cNvSpPr>
          <a:spLocks/>
        </xdr:cNvSpPr>
      </xdr:nvSpPr>
      <xdr:spPr>
        <a:xfrm>
          <a:off x="2054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0</xdr:rowOff>
    </xdr:to>
    <xdr:sp>
      <xdr:nvSpPr>
        <xdr:cNvPr id="348" name="Rectangle 375"/>
        <xdr:cNvSpPr>
          <a:spLocks/>
        </xdr:cNvSpPr>
      </xdr:nvSpPr>
      <xdr:spPr>
        <a:xfrm>
          <a:off x="1792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28</xdr:col>
      <xdr:colOff>0</xdr:colOff>
      <xdr:row>19</xdr:row>
      <xdr:rowOff>0</xdr:rowOff>
    </xdr:to>
    <xdr:sp>
      <xdr:nvSpPr>
        <xdr:cNvPr id="349" name="Rectangle 376"/>
        <xdr:cNvSpPr>
          <a:spLocks/>
        </xdr:cNvSpPr>
      </xdr:nvSpPr>
      <xdr:spPr>
        <a:xfrm>
          <a:off x="1792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19</xdr:row>
      <xdr:rowOff>0</xdr:rowOff>
    </xdr:to>
    <xdr:sp>
      <xdr:nvSpPr>
        <xdr:cNvPr id="350" name="Rectangle 377"/>
        <xdr:cNvSpPr>
          <a:spLocks/>
        </xdr:cNvSpPr>
      </xdr:nvSpPr>
      <xdr:spPr>
        <a:xfrm>
          <a:off x="2054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19</xdr:row>
      <xdr:rowOff>0</xdr:rowOff>
    </xdr:to>
    <xdr:sp>
      <xdr:nvSpPr>
        <xdr:cNvPr id="351" name="Rectangle 378"/>
        <xdr:cNvSpPr>
          <a:spLocks/>
        </xdr:cNvSpPr>
      </xdr:nvSpPr>
      <xdr:spPr>
        <a:xfrm>
          <a:off x="1792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32</xdr:col>
      <xdr:colOff>0</xdr:colOff>
      <xdr:row>19</xdr:row>
      <xdr:rowOff>0</xdr:rowOff>
    </xdr:to>
    <xdr:sp>
      <xdr:nvSpPr>
        <xdr:cNvPr id="352" name="Rectangle 379"/>
        <xdr:cNvSpPr>
          <a:spLocks/>
        </xdr:cNvSpPr>
      </xdr:nvSpPr>
      <xdr:spPr>
        <a:xfrm>
          <a:off x="2159317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39</xdr:col>
      <xdr:colOff>0</xdr:colOff>
      <xdr:row>19</xdr:row>
      <xdr:rowOff>0</xdr:rowOff>
    </xdr:to>
    <xdr:sp>
      <xdr:nvSpPr>
        <xdr:cNvPr id="353" name="Rectangle 380"/>
        <xdr:cNvSpPr>
          <a:spLocks/>
        </xdr:cNvSpPr>
      </xdr:nvSpPr>
      <xdr:spPr>
        <a:xfrm>
          <a:off x="26031825" y="2819400"/>
          <a:ext cx="2581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40</xdr:col>
      <xdr:colOff>0</xdr:colOff>
      <xdr:row>19</xdr:row>
      <xdr:rowOff>0</xdr:rowOff>
    </xdr:to>
    <xdr:sp>
      <xdr:nvSpPr>
        <xdr:cNvPr id="354" name="Rectangle 381"/>
        <xdr:cNvSpPr>
          <a:spLocks/>
        </xdr:cNvSpPr>
      </xdr:nvSpPr>
      <xdr:spPr>
        <a:xfrm>
          <a:off x="286131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19</xdr:row>
      <xdr:rowOff>0</xdr:rowOff>
    </xdr:to>
    <xdr:sp>
      <xdr:nvSpPr>
        <xdr:cNvPr id="355" name="Rectangle 382"/>
        <xdr:cNvSpPr>
          <a:spLocks/>
        </xdr:cNvSpPr>
      </xdr:nvSpPr>
      <xdr:spPr>
        <a:xfrm>
          <a:off x="2603182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39</xdr:col>
      <xdr:colOff>0</xdr:colOff>
      <xdr:row>19</xdr:row>
      <xdr:rowOff>0</xdr:rowOff>
    </xdr:to>
    <xdr:sp>
      <xdr:nvSpPr>
        <xdr:cNvPr id="356" name="Rectangle 383"/>
        <xdr:cNvSpPr>
          <a:spLocks/>
        </xdr:cNvSpPr>
      </xdr:nvSpPr>
      <xdr:spPr>
        <a:xfrm>
          <a:off x="26031825" y="2819400"/>
          <a:ext cx="2581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0</xdr:rowOff>
    </xdr:from>
    <xdr:to>
      <xdr:col>40</xdr:col>
      <xdr:colOff>0</xdr:colOff>
      <xdr:row>19</xdr:row>
      <xdr:rowOff>0</xdr:rowOff>
    </xdr:to>
    <xdr:sp>
      <xdr:nvSpPr>
        <xdr:cNvPr id="357" name="Rectangle 384"/>
        <xdr:cNvSpPr>
          <a:spLocks/>
        </xdr:cNvSpPr>
      </xdr:nvSpPr>
      <xdr:spPr>
        <a:xfrm>
          <a:off x="286131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19</xdr:row>
      <xdr:rowOff>0</xdr:rowOff>
    </xdr:to>
    <xdr:sp>
      <xdr:nvSpPr>
        <xdr:cNvPr id="358" name="Rectangle 385"/>
        <xdr:cNvSpPr>
          <a:spLocks/>
        </xdr:cNvSpPr>
      </xdr:nvSpPr>
      <xdr:spPr>
        <a:xfrm>
          <a:off x="2603182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43</xdr:col>
      <xdr:colOff>0</xdr:colOff>
      <xdr:row>19</xdr:row>
      <xdr:rowOff>0</xdr:rowOff>
    </xdr:to>
    <xdr:sp>
      <xdr:nvSpPr>
        <xdr:cNvPr id="359" name="Rectangle 386"/>
        <xdr:cNvSpPr>
          <a:spLocks/>
        </xdr:cNvSpPr>
      </xdr:nvSpPr>
      <xdr:spPr>
        <a:xfrm>
          <a:off x="2966085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50</xdr:col>
      <xdr:colOff>0</xdr:colOff>
      <xdr:row>19</xdr:row>
      <xdr:rowOff>0</xdr:rowOff>
    </xdr:to>
    <xdr:sp>
      <xdr:nvSpPr>
        <xdr:cNvPr id="360" name="Rectangle 387"/>
        <xdr:cNvSpPr>
          <a:spLocks/>
        </xdr:cNvSpPr>
      </xdr:nvSpPr>
      <xdr:spPr>
        <a:xfrm>
          <a:off x="340995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51</xdr:col>
      <xdr:colOff>0</xdr:colOff>
      <xdr:row>19</xdr:row>
      <xdr:rowOff>0</xdr:rowOff>
    </xdr:to>
    <xdr:sp>
      <xdr:nvSpPr>
        <xdr:cNvPr id="361" name="Rectangle 388"/>
        <xdr:cNvSpPr>
          <a:spLocks/>
        </xdr:cNvSpPr>
      </xdr:nvSpPr>
      <xdr:spPr>
        <a:xfrm>
          <a:off x="36718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47</xdr:col>
      <xdr:colOff>0</xdr:colOff>
      <xdr:row>19</xdr:row>
      <xdr:rowOff>0</xdr:rowOff>
    </xdr:to>
    <xdr:sp>
      <xdr:nvSpPr>
        <xdr:cNvPr id="362" name="Rectangle 389"/>
        <xdr:cNvSpPr>
          <a:spLocks/>
        </xdr:cNvSpPr>
      </xdr:nvSpPr>
      <xdr:spPr>
        <a:xfrm>
          <a:off x="340995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50</xdr:col>
      <xdr:colOff>0</xdr:colOff>
      <xdr:row>19</xdr:row>
      <xdr:rowOff>0</xdr:rowOff>
    </xdr:to>
    <xdr:sp>
      <xdr:nvSpPr>
        <xdr:cNvPr id="363" name="Rectangle 390"/>
        <xdr:cNvSpPr>
          <a:spLocks/>
        </xdr:cNvSpPr>
      </xdr:nvSpPr>
      <xdr:spPr>
        <a:xfrm>
          <a:off x="340995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51</xdr:col>
      <xdr:colOff>0</xdr:colOff>
      <xdr:row>19</xdr:row>
      <xdr:rowOff>0</xdr:rowOff>
    </xdr:to>
    <xdr:sp>
      <xdr:nvSpPr>
        <xdr:cNvPr id="364" name="Rectangle 391"/>
        <xdr:cNvSpPr>
          <a:spLocks/>
        </xdr:cNvSpPr>
      </xdr:nvSpPr>
      <xdr:spPr>
        <a:xfrm>
          <a:off x="36718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47</xdr:col>
      <xdr:colOff>0</xdr:colOff>
      <xdr:row>19</xdr:row>
      <xdr:rowOff>0</xdr:rowOff>
    </xdr:to>
    <xdr:sp>
      <xdr:nvSpPr>
        <xdr:cNvPr id="365" name="Rectangle 392"/>
        <xdr:cNvSpPr>
          <a:spLocks/>
        </xdr:cNvSpPr>
      </xdr:nvSpPr>
      <xdr:spPr>
        <a:xfrm>
          <a:off x="340995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54</xdr:col>
      <xdr:colOff>0</xdr:colOff>
      <xdr:row>19</xdr:row>
      <xdr:rowOff>0</xdr:rowOff>
    </xdr:to>
    <xdr:sp>
      <xdr:nvSpPr>
        <xdr:cNvPr id="366" name="Rectangle 393"/>
        <xdr:cNvSpPr>
          <a:spLocks/>
        </xdr:cNvSpPr>
      </xdr:nvSpPr>
      <xdr:spPr>
        <a:xfrm>
          <a:off x="377666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61</xdr:col>
      <xdr:colOff>0</xdr:colOff>
      <xdr:row>19</xdr:row>
      <xdr:rowOff>0</xdr:rowOff>
    </xdr:to>
    <xdr:sp>
      <xdr:nvSpPr>
        <xdr:cNvPr id="367" name="Rectangle 394"/>
        <xdr:cNvSpPr>
          <a:spLocks/>
        </xdr:cNvSpPr>
      </xdr:nvSpPr>
      <xdr:spPr>
        <a:xfrm>
          <a:off x="42205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19</xdr:row>
      <xdr:rowOff>0</xdr:rowOff>
    </xdr:to>
    <xdr:sp>
      <xdr:nvSpPr>
        <xdr:cNvPr id="368" name="Rectangle 395"/>
        <xdr:cNvSpPr>
          <a:spLocks/>
        </xdr:cNvSpPr>
      </xdr:nvSpPr>
      <xdr:spPr>
        <a:xfrm>
          <a:off x="44824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369" name="Rectangle 396"/>
        <xdr:cNvSpPr>
          <a:spLocks/>
        </xdr:cNvSpPr>
      </xdr:nvSpPr>
      <xdr:spPr>
        <a:xfrm>
          <a:off x="42205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61</xdr:col>
      <xdr:colOff>0</xdr:colOff>
      <xdr:row>19</xdr:row>
      <xdr:rowOff>0</xdr:rowOff>
    </xdr:to>
    <xdr:sp>
      <xdr:nvSpPr>
        <xdr:cNvPr id="370" name="Rectangle 397"/>
        <xdr:cNvSpPr>
          <a:spLocks/>
        </xdr:cNvSpPr>
      </xdr:nvSpPr>
      <xdr:spPr>
        <a:xfrm>
          <a:off x="42205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19</xdr:row>
      <xdr:rowOff>0</xdr:rowOff>
    </xdr:to>
    <xdr:sp>
      <xdr:nvSpPr>
        <xdr:cNvPr id="371" name="Rectangle 398"/>
        <xdr:cNvSpPr>
          <a:spLocks/>
        </xdr:cNvSpPr>
      </xdr:nvSpPr>
      <xdr:spPr>
        <a:xfrm>
          <a:off x="44824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372" name="Rectangle 399"/>
        <xdr:cNvSpPr>
          <a:spLocks/>
        </xdr:cNvSpPr>
      </xdr:nvSpPr>
      <xdr:spPr>
        <a:xfrm>
          <a:off x="42205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0</xdr:rowOff>
    </xdr:from>
    <xdr:to>
      <xdr:col>65</xdr:col>
      <xdr:colOff>0</xdr:colOff>
      <xdr:row>19</xdr:row>
      <xdr:rowOff>0</xdr:rowOff>
    </xdr:to>
    <xdr:sp>
      <xdr:nvSpPr>
        <xdr:cNvPr id="373" name="Rectangle 400"/>
        <xdr:cNvSpPr>
          <a:spLocks/>
        </xdr:cNvSpPr>
      </xdr:nvSpPr>
      <xdr:spPr>
        <a:xfrm>
          <a:off x="4587240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72</xdr:col>
      <xdr:colOff>0</xdr:colOff>
      <xdr:row>19</xdr:row>
      <xdr:rowOff>0</xdr:rowOff>
    </xdr:to>
    <xdr:sp>
      <xdr:nvSpPr>
        <xdr:cNvPr id="374" name="Rectangle 401"/>
        <xdr:cNvSpPr>
          <a:spLocks/>
        </xdr:cNvSpPr>
      </xdr:nvSpPr>
      <xdr:spPr>
        <a:xfrm>
          <a:off x="5030152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17</xdr:row>
      <xdr:rowOff>0</xdr:rowOff>
    </xdr:from>
    <xdr:to>
      <xdr:col>73</xdr:col>
      <xdr:colOff>0</xdr:colOff>
      <xdr:row>19</xdr:row>
      <xdr:rowOff>0</xdr:rowOff>
    </xdr:to>
    <xdr:sp>
      <xdr:nvSpPr>
        <xdr:cNvPr id="375" name="Rectangle 402"/>
        <xdr:cNvSpPr>
          <a:spLocks/>
        </xdr:cNvSpPr>
      </xdr:nvSpPr>
      <xdr:spPr>
        <a:xfrm>
          <a:off x="529209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69</xdr:col>
      <xdr:colOff>0</xdr:colOff>
      <xdr:row>19</xdr:row>
      <xdr:rowOff>0</xdr:rowOff>
    </xdr:to>
    <xdr:sp>
      <xdr:nvSpPr>
        <xdr:cNvPr id="376" name="Rectangle 403"/>
        <xdr:cNvSpPr>
          <a:spLocks/>
        </xdr:cNvSpPr>
      </xdr:nvSpPr>
      <xdr:spPr>
        <a:xfrm>
          <a:off x="5030152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72</xdr:col>
      <xdr:colOff>0</xdr:colOff>
      <xdr:row>19</xdr:row>
      <xdr:rowOff>0</xdr:rowOff>
    </xdr:to>
    <xdr:sp>
      <xdr:nvSpPr>
        <xdr:cNvPr id="377" name="Rectangle 404"/>
        <xdr:cNvSpPr>
          <a:spLocks/>
        </xdr:cNvSpPr>
      </xdr:nvSpPr>
      <xdr:spPr>
        <a:xfrm>
          <a:off x="5030152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17</xdr:row>
      <xdr:rowOff>0</xdr:rowOff>
    </xdr:from>
    <xdr:to>
      <xdr:col>73</xdr:col>
      <xdr:colOff>0</xdr:colOff>
      <xdr:row>19</xdr:row>
      <xdr:rowOff>0</xdr:rowOff>
    </xdr:to>
    <xdr:sp>
      <xdr:nvSpPr>
        <xdr:cNvPr id="378" name="Rectangle 405"/>
        <xdr:cNvSpPr>
          <a:spLocks/>
        </xdr:cNvSpPr>
      </xdr:nvSpPr>
      <xdr:spPr>
        <a:xfrm>
          <a:off x="5292090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69</xdr:col>
      <xdr:colOff>0</xdr:colOff>
      <xdr:row>19</xdr:row>
      <xdr:rowOff>0</xdr:rowOff>
    </xdr:to>
    <xdr:sp>
      <xdr:nvSpPr>
        <xdr:cNvPr id="379" name="Rectangle 406"/>
        <xdr:cNvSpPr>
          <a:spLocks/>
        </xdr:cNvSpPr>
      </xdr:nvSpPr>
      <xdr:spPr>
        <a:xfrm>
          <a:off x="5030152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0</xdr:rowOff>
    </xdr:from>
    <xdr:to>
      <xdr:col>76</xdr:col>
      <xdr:colOff>0</xdr:colOff>
      <xdr:row>19</xdr:row>
      <xdr:rowOff>0</xdr:rowOff>
    </xdr:to>
    <xdr:sp>
      <xdr:nvSpPr>
        <xdr:cNvPr id="380" name="Rectangle 407"/>
        <xdr:cNvSpPr>
          <a:spLocks/>
        </xdr:cNvSpPr>
      </xdr:nvSpPr>
      <xdr:spPr>
        <a:xfrm>
          <a:off x="5396865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83</xdr:col>
      <xdr:colOff>0</xdr:colOff>
      <xdr:row>19</xdr:row>
      <xdr:rowOff>0</xdr:rowOff>
    </xdr:to>
    <xdr:sp>
      <xdr:nvSpPr>
        <xdr:cNvPr id="381" name="Rectangle 408"/>
        <xdr:cNvSpPr>
          <a:spLocks/>
        </xdr:cNvSpPr>
      </xdr:nvSpPr>
      <xdr:spPr>
        <a:xfrm>
          <a:off x="58407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17</xdr:row>
      <xdr:rowOff>0</xdr:rowOff>
    </xdr:from>
    <xdr:to>
      <xdr:col>84</xdr:col>
      <xdr:colOff>0</xdr:colOff>
      <xdr:row>19</xdr:row>
      <xdr:rowOff>0</xdr:rowOff>
    </xdr:to>
    <xdr:sp>
      <xdr:nvSpPr>
        <xdr:cNvPr id="382" name="Rectangle 409"/>
        <xdr:cNvSpPr>
          <a:spLocks/>
        </xdr:cNvSpPr>
      </xdr:nvSpPr>
      <xdr:spPr>
        <a:xfrm>
          <a:off x="61026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80</xdr:col>
      <xdr:colOff>0</xdr:colOff>
      <xdr:row>19</xdr:row>
      <xdr:rowOff>0</xdr:rowOff>
    </xdr:to>
    <xdr:sp>
      <xdr:nvSpPr>
        <xdr:cNvPr id="383" name="Rectangle 410"/>
        <xdr:cNvSpPr>
          <a:spLocks/>
        </xdr:cNvSpPr>
      </xdr:nvSpPr>
      <xdr:spPr>
        <a:xfrm>
          <a:off x="58407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83</xdr:col>
      <xdr:colOff>0</xdr:colOff>
      <xdr:row>19</xdr:row>
      <xdr:rowOff>0</xdr:rowOff>
    </xdr:to>
    <xdr:sp>
      <xdr:nvSpPr>
        <xdr:cNvPr id="384" name="Rectangle 411"/>
        <xdr:cNvSpPr>
          <a:spLocks/>
        </xdr:cNvSpPr>
      </xdr:nvSpPr>
      <xdr:spPr>
        <a:xfrm>
          <a:off x="58407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17</xdr:row>
      <xdr:rowOff>0</xdr:rowOff>
    </xdr:from>
    <xdr:to>
      <xdr:col>84</xdr:col>
      <xdr:colOff>0</xdr:colOff>
      <xdr:row>19</xdr:row>
      <xdr:rowOff>0</xdr:rowOff>
    </xdr:to>
    <xdr:sp>
      <xdr:nvSpPr>
        <xdr:cNvPr id="385" name="Rectangle 412"/>
        <xdr:cNvSpPr>
          <a:spLocks/>
        </xdr:cNvSpPr>
      </xdr:nvSpPr>
      <xdr:spPr>
        <a:xfrm>
          <a:off x="61026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17</xdr:row>
      <xdr:rowOff>0</xdr:rowOff>
    </xdr:from>
    <xdr:to>
      <xdr:col>80</xdr:col>
      <xdr:colOff>0</xdr:colOff>
      <xdr:row>19</xdr:row>
      <xdr:rowOff>0</xdr:rowOff>
    </xdr:to>
    <xdr:sp>
      <xdr:nvSpPr>
        <xdr:cNvPr id="386" name="Rectangle 413"/>
        <xdr:cNvSpPr>
          <a:spLocks/>
        </xdr:cNvSpPr>
      </xdr:nvSpPr>
      <xdr:spPr>
        <a:xfrm>
          <a:off x="58407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17</xdr:row>
      <xdr:rowOff>0</xdr:rowOff>
    </xdr:from>
    <xdr:to>
      <xdr:col>87</xdr:col>
      <xdr:colOff>0</xdr:colOff>
      <xdr:row>19</xdr:row>
      <xdr:rowOff>0</xdr:rowOff>
    </xdr:to>
    <xdr:sp>
      <xdr:nvSpPr>
        <xdr:cNvPr id="387" name="Rectangle 414"/>
        <xdr:cNvSpPr>
          <a:spLocks/>
        </xdr:cNvSpPr>
      </xdr:nvSpPr>
      <xdr:spPr>
        <a:xfrm>
          <a:off x="620744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94</xdr:col>
      <xdr:colOff>0</xdr:colOff>
      <xdr:row>19</xdr:row>
      <xdr:rowOff>0</xdr:rowOff>
    </xdr:to>
    <xdr:sp>
      <xdr:nvSpPr>
        <xdr:cNvPr id="388" name="Rectangle 415"/>
        <xdr:cNvSpPr>
          <a:spLocks/>
        </xdr:cNvSpPr>
      </xdr:nvSpPr>
      <xdr:spPr>
        <a:xfrm>
          <a:off x="66513075" y="2819400"/>
          <a:ext cx="2590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17</xdr:row>
      <xdr:rowOff>0</xdr:rowOff>
    </xdr:from>
    <xdr:to>
      <xdr:col>95</xdr:col>
      <xdr:colOff>0</xdr:colOff>
      <xdr:row>19</xdr:row>
      <xdr:rowOff>0</xdr:rowOff>
    </xdr:to>
    <xdr:sp>
      <xdr:nvSpPr>
        <xdr:cNvPr id="389" name="Rectangle 416"/>
        <xdr:cNvSpPr>
          <a:spLocks/>
        </xdr:cNvSpPr>
      </xdr:nvSpPr>
      <xdr:spPr>
        <a:xfrm>
          <a:off x="69103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91</xdr:col>
      <xdr:colOff>0</xdr:colOff>
      <xdr:row>19</xdr:row>
      <xdr:rowOff>0</xdr:rowOff>
    </xdr:to>
    <xdr:sp>
      <xdr:nvSpPr>
        <xdr:cNvPr id="390" name="Rectangle 417"/>
        <xdr:cNvSpPr>
          <a:spLocks/>
        </xdr:cNvSpPr>
      </xdr:nvSpPr>
      <xdr:spPr>
        <a:xfrm>
          <a:off x="665130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94</xdr:col>
      <xdr:colOff>0</xdr:colOff>
      <xdr:row>19</xdr:row>
      <xdr:rowOff>0</xdr:rowOff>
    </xdr:to>
    <xdr:sp>
      <xdr:nvSpPr>
        <xdr:cNvPr id="391" name="Rectangle 418"/>
        <xdr:cNvSpPr>
          <a:spLocks/>
        </xdr:cNvSpPr>
      </xdr:nvSpPr>
      <xdr:spPr>
        <a:xfrm>
          <a:off x="66513075" y="2819400"/>
          <a:ext cx="2590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17</xdr:row>
      <xdr:rowOff>0</xdr:rowOff>
    </xdr:from>
    <xdr:to>
      <xdr:col>95</xdr:col>
      <xdr:colOff>0</xdr:colOff>
      <xdr:row>19</xdr:row>
      <xdr:rowOff>0</xdr:rowOff>
    </xdr:to>
    <xdr:sp>
      <xdr:nvSpPr>
        <xdr:cNvPr id="392" name="Rectangle 419"/>
        <xdr:cNvSpPr>
          <a:spLocks/>
        </xdr:cNvSpPr>
      </xdr:nvSpPr>
      <xdr:spPr>
        <a:xfrm>
          <a:off x="691038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17</xdr:row>
      <xdr:rowOff>0</xdr:rowOff>
    </xdr:from>
    <xdr:to>
      <xdr:col>91</xdr:col>
      <xdr:colOff>0</xdr:colOff>
      <xdr:row>19</xdr:row>
      <xdr:rowOff>0</xdr:rowOff>
    </xdr:to>
    <xdr:sp>
      <xdr:nvSpPr>
        <xdr:cNvPr id="393" name="Rectangle 420"/>
        <xdr:cNvSpPr>
          <a:spLocks/>
        </xdr:cNvSpPr>
      </xdr:nvSpPr>
      <xdr:spPr>
        <a:xfrm>
          <a:off x="665130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17</xdr:row>
      <xdr:rowOff>0</xdr:rowOff>
    </xdr:from>
    <xdr:to>
      <xdr:col>98</xdr:col>
      <xdr:colOff>0</xdr:colOff>
      <xdr:row>19</xdr:row>
      <xdr:rowOff>0</xdr:rowOff>
    </xdr:to>
    <xdr:sp>
      <xdr:nvSpPr>
        <xdr:cNvPr id="394" name="Rectangle 421"/>
        <xdr:cNvSpPr>
          <a:spLocks/>
        </xdr:cNvSpPr>
      </xdr:nvSpPr>
      <xdr:spPr>
        <a:xfrm>
          <a:off x="701516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105</xdr:col>
      <xdr:colOff>0</xdr:colOff>
      <xdr:row>19</xdr:row>
      <xdr:rowOff>0</xdr:rowOff>
    </xdr:to>
    <xdr:sp>
      <xdr:nvSpPr>
        <xdr:cNvPr id="395" name="Rectangle 422"/>
        <xdr:cNvSpPr>
          <a:spLocks/>
        </xdr:cNvSpPr>
      </xdr:nvSpPr>
      <xdr:spPr>
        <a:xfrm>
          <a:off x="74590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17</xdr:row>
      <xdr:rowOff>0</xdr:rowOff>
    </xdr:from>
    <xdr:to>
      <xdr:col>106</xdr:col>
      <xdr:colOff>0</xdr:colOff>
      <xdr:row>19</xdr:row>
      <xdr:rowOff>0</xdr:rowOff>
    </xdr:to>
    <xdr:sp>
      <xdr:nvSpPr>
        <xdr:cNvPr id="396" name="Rectangle 423"/>
        <xdr:cNvSpPr>
          <a:spLocks/>
        </xdr:cNvSpPr>
      </xdr:nvSpPr>
      <xdr:spPr>
        <a:xfrm>
          <a:off x="77209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102</xdr:col>
      <xdr:colOff>0</xdr:colOff>
      <xdr:row>19</xdr:row>
      <xdr:rowOff>0</xdr:rowOff>
    </xdr:to>
    <xdr:sp>
      <xdr:nvSpPr>
        <xdr:cNvPr id="397" name="Rectangle 424"/>
        <xdr:cNvSpPr>
          <a:spLocks/>
        </xdr:cNvSpPr>
      </xdr:nvSpPr>
      <xdr:spPr>
        <a:xfrm>
          <a:off x="74590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105</xdr:col>
      <xdr:colOff>0</xdr:colOff>
      <xdr:row>19</xdr:row>
      <xdr:rowOff>0</xdr:rowOff>
    </xdr:to>
    <xdr:sp>
      <xdr:nvSpPr>
        <xdr:cNvPr id="398" name="Rectangle 425"/>
        <xdr:cNvSpPr>
          <a:spLocks/>
        </xdr:cNvSpPr>
      </xdr:nvSpPr>
      <xdr:spPr>
        <a:xfrm>
          <a:off x="745902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17</xdr:row>
      <xdr:rowOff>0</xdr:rowOff>
    </xdr:from>
    <xdr:to>
      <xdr:col>106</xdr:col>
      <xdr:colOff>0</xdr:colOff>
      <xdr:row>19</xdr:row>
      <xdr:rowOff>0</xdr:rowOff>
    </xdr:to>
    <xdr:sp>
      <xdr:nvSpPr>
        <xdr:cNvPr id="399" name="Rectangle 426"/>
        <xdr:cNvSpPr>
          <a:spLocks/>
        </xdr:cNvSpPr>
      </xdr:nvSpPr>
      <xdr:spPr>
        <a:xfrm>
          <a:off x="77209650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17</xdr:row>
      <xdr:rowOff>0</xdr:rowOff>
    </xdr:from>
    <xdr:to>
      <xdr:col>102</xdr:col>
      <xdr:colOff>0</xdr:colOff>
      <xdr:row>19</xdr:row>
      <xdr:rowOff>0</xdr:rowOff>
    </xdr:to>
    <xdr:sp>
      <xdr:nvSpPr>
        <xdr:cNvPr id="400" name="Rectangle 427"/>
        <xdr:cNvSpPr>
          <a:spLocks/>
        </xdr:cNvSpPr>
      </xdr:nvSpPr>
      <xdr:spPr>
        <a:xfrm>
          <a:off x="745902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17</xdr:row>
      <xdr:rowOff>0</xdr:rowOff>
    </xdr:from>
    <xdr:to>
      <xdr:col>109</xdr:col>
      <xdr:colOff>0</xdr:colOff>
      <xdr:row>19</xdr:row>
      <xdr:rowOff>0</xdr:rowOff>
    </xdr:to>
    <xdr:sp>
      <xdr:nvSpPr>
        <xdr:cNvPr id="401" name="Rectangle 428"/>
        <xdr:cNvSpPr>
          <a:spLocks/>
        </xdr:cNvSpPr>
      </xdr:nvSpPr>
      <xdr:spPr>
        <a:xfrm>
          <a:off x="78257400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116</xdr:col>
      <xdr:colOff>0</xdr:colOff>
      <xdr:row>19</xdr:row>
      <xdr:rowOff>0</xdr:rowOff>
    </xdr:to>
    <xdr:sp>
      <xdr:nvSpPr>
        <xdr:cNvPr id="402" name="Rectangle 429"/>
        <xdr:cNvSpPr>
          <a:spLocks/>
        </xdr:cNvSpPr>
      </xdr:nvSpPr>
      <xdr:spPr>
        <a:xfrm>
          <a:off x="8269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117</xdr:col>
      <xdr:colOff>0</xdr:colOff>
      <xdr:row>19</xdr:row>
      <xdr:rowOff>0</xdr:rowOff>
    </xdr:to>
    <xdr:sp>
      <xdr:nvSpPr>
        <xdr:cNvPr id="403" name="Rectangle 430"/>
        <xdr:cNvSpPr>
          <a:spLocks/>
        </xdr:cNvSpPr>
      </xdr:nvSpPr>
      <xdr:spPr>
        <a:xfrm>
          <a:off x="8531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113</xdr:col>
      <xdr:colOff>0</xdr:colOff>
      <xdr:row>19</xdr:row>
      <xdr:rowOff>0</xdr:rowOff>
    </xdr:to>
    <xdr:sp>
      <xdr:nvSpPr>
        <xdr:cNvPr id="404" name="Rectangle 431"/>
        <xdr:cNvSpPr>
          <a:spLocks/>
        </xdr:cNvSpPr>
      </xdr:nvSpPr>
      <xdr:spPr>
        <a:xfrm>
          <a:off x="8269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116</xdr:col>
      <xdr:colOff>0</xdr:colOff>
      <xdr:row>19</xdr:row>
      <xdr:rowOff>0</xdr:rowOff>
    </xdr:to>
    <xdr:sp>
      <xdr:nvSpPr>
        <xdr:cNvPr id="405" name="Rectangle 432"/>
        <xdr:cNvSpPr>
          <a:spLocks/>
        </xdr:cNvSpPr>
      </xdr:nvSpPr>
      <xdr:spPr>
        <a:xfrm>
          <a:off x="8269605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117</xdr:col>
      <xdr:colOff>0</xdr:colOff>
      <xdr:row>19</xdr:row>
      <xdr:rowOff>0</xdr:rowOff>
    </xdr:to>
    <xdr:sp>
      <xdr:nvSpPr>
        <xdr:cNvPr id="406" name="Rectangle 433"/>
        <xdr:cNvSpPr>
          <a:spLocks/>
        </xdr:cNvSpPr>
      </xdr:nvSpPr>
      <xdr:spPr>
        <a:xfrm>
          <a:off x="8531542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17</xdr:row>
      <xdr:rowOff>0</xdr:rowOff>
    </xdr:from>
    <xdr:to>
      <xdr:col>113</xdr:col>
      <xdr:colOff>0</xdr:colOff>
      <xdr:row>19</xdr:row>
      <xdr:rowOff>0</xdr:rowOff>
    </xdr:to>
    <xdr:sp>
      <xdr:nvSpPr>
        <xdr:cNvPr id="407" name="Rectangle 434"/>
        <xdr:cNvSpPr>
          <a:spLocks/>
        </xdr:cNvSpPr>
      </xdr:nvSpPr>
      <xdr:spPr>
        <a:xfrm>
          <a:off x="8269605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17</xdr:row>
      <xdr:rowOff>0</xdr:rowOff>
    </xdr:from>
    <xdr:to>
      <xdr:col>120</xdr:col>
      <xdr:colOff>0</xdr:colOff>
      <xdr:row>19</xdr:row>
      <xdr:rowOff>0</xdr:rowOff>
    </xdr:to>
    <xdr:sp>
      <xdr:nvSpPr>
        <xdr:cNvPr id="408" name="Rectangle 435"/>
        <xdr:cNvSpPr>
          <a:spLocks/>
        </xdr:cNvSpPr>
      </xdr:nvSpPr>
      <xdr:spPr>
        <a:xfrm>
          <a:off x="8636317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127</xdr:col>
      <xdr:colOff>0</xdr:colOff>
      <xdr:row>19</xdr:row>
      <xdr:rowOff>0</xdr:rowOff>
    </xdr:to>
    <xdr:sp>
      <xdr:nvSpPr>
        <xdr:cNvPr id="409" name="Rectangle 436"/>
        <xdr:cNvSpPr>
          <a:spLocks/>
        </xdr:cNvSpPr>
      </xdr:nvSpPr>
      <xdr:spPr>
        <a:xfrm>
          <a:off x="90792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17</xdr:row>
      <xdr:rowOff>0</xdr:rowOff>
    </xdr:from>
    <xdr:to>
      <xdr:col>128</xdr:col>
      <xdr:colOff>0</xdr:colOff>
      <xdr:row>19</xdr:row>
      <xdr:rowOff>0</xdr:rowOff>
    </xdr:to>
    <xdr:sp>
      <xdr:nvSpPr>
        <xdr:cNvPr id="410" name="Rectangle 437"/>
        <xdr:cNvSpPr>
          <a:spLocks/>
        </xdr:cNvSpPr>
      </xdr:nvSpPr>
      <xdr:spPr>
        <a:xfrm>
          <a:off x="93411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124</xdr:col>
      <xdr:colOff>0</xdr:colOff>
      <xdr:row>19</xdr:row>
      <xdr:rowOff>0</xdr:rowOff>
    </xdr:to>
    <xdr:sp>
      <xdr:nvSpPr>
        <xdr:cNvPr id="411" name="Rectangle 438"/>
        <xdr:cNvSpPr>
          <a:spLocks/>
        </xdr:cNvSpPr>
      </xdr:nvSpPr>
      <xdr:spPr>
        <a:xfrm>
          <a:off x="90792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127</xdr:col>
      <xdr:colOff>0</xdr:colOff>
      <xdr:row>19</xdr:row>
      <xdr:rowOff>0</xdr:rowOff>
    </xdr:to>
    <xdr:sp>
      <xdr:nvSpPr>
        <xdr:cNvPr id="412" name="Rectangle 439"/>
        <xdr:cNvSpPr>
          <a:spLocks/>
        </xdr:cNvSpPr>
      </xdr:nvSpPr>
      <xdr:spPr>
        <a:xfrm>
          <a:off x="90792300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17</xdr:row>
      <xdr:rowOff>0</xdr:rowOff>
    </xdr:from>
    <xdr:to>
      <xdr:col>128</xdr:col>
      <xdr:colOff>0</xdr:colOff>
      <xdr:row>19</xdr:row>
      <xdr:rowOff>0</xdr:rowOff>
    </xdr:to>
    <xdr:sp>
      <xdr:nvSpPr>
        <xdr:cNvPr id="413" name="Rectangle 440"/>
        <xdr:cNvSpPr>
          <a:spLocks/>
        </xdr:cNvSpPr>
      </xdr:nvSpPr>
      <xdr:spPr>
        <a:xfrm>
          <a:off x="93411675" y="2819400"/>
          <a:ext cx="104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17</xdr:row>
      <xdr:rowOff>0</xdr:rowOff>
    </xdr:from>
    <xdr:to>
      <xdr:col>124</xdr:col>
      <xdr:colOff>0</xdr:colOff>
      <xdr:row>19</xdr:row>
      <xdr:rowOff>0</xdr:rowOff>
    </xdr:to>
    <xdr:sp>
      <xdr:nvSpPr>
        <xdr:cNvPr id="414" name="Rectangle 441"/>
        <xdr:cNvSpPr>
          <a:spLocks/>
        </xdr:cNvSpPr>
      </xdr:nvSpPr>
      <xdr:spPr>
        <a:xfrm>
          <a:off x="90792300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17</xdr:row>
      <xdr:rowOff>0</xdr:rowOff>
    </xdr:from>
    <xdr:to>
      <xdr:col>131</xdr:col>
      <xdr:colOff>0</xdr:colOff>
      <xdr:row>19</xdr:row>
      <xdr:rowOff>0</xdr:rowOff>
    </xdr:to>
    <xdr:sp>
      <xdr:nvSpPr>
        <xdr:cNvPr id="415" name="Rectangle 442"/>
        <xdr:cNvSpPr>
          <a:spLocks/>
        </xdr:cNvSpPr>
      </xdr:nvSpPr>
      <xdr:spPr>
        <a:xfrm>
          <a:off x="944594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19</xdr:row>
      <xdr:rowOff>0</xdr:rowOff>
    </xdr:to>
    <xdr:sp>
      <xdr:nvSpPr>
        <xdr:cNvPr id="416" name="Rectangle 443"/>
        <xdr:cNvSpPr>
          <a:spLocks/>
        </xdr:cNvSpPr>
      </xdr:nvSpPr>
      <xdr:spPr>
        <a:xfrm>
          <a:off x="988980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17</xdr:row>
      <xdr:rowOff>0</xdr:rowOff>
    </xdr:from>
    <xdr:to>
      <xdr:col>139</xdr:col>
      <xdr:colOff>0</xdr:colOff>
      <xdr:row>19</xdr:row>
      <xdr:rowOff>0</xdr:rowOff>
    </xdr:to>
    <xdr:sp>
      <xdr:nvSpPr>
        <xdr:cNvPr id="417" name="Rectangle 444"/>
        <xdr:cNvSpPr>
          <a:spLocks/>
        </xdr:cNvSpPr>
      </xdr:nvSpPr>
      <xdr:spPr>
        <a:xfrm>
          <a:off x="101517450" y="2819400"/>
          <a:ext cx="1057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135</xdr:col>
      <xdr:colOff>0</xdr:colOff>
      <xdr:row>19</xdr:row>
      <xdr:rowOff>0</xdr:rowOff>
    </xdr:to>
    <xdr:sp>
      <xdr:nvSpPr>
        <xdr:cNvPr id="418" name="Rectangle 445"/>
        <xdr:cNvSpPr>
          <a:spLocks/>
        </xdr:cNvSpPr>
      </xdr:nvSpPr>
      <xdr:spPr>
        <a:xfrm>
          <a:off x="988980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19</xdr:row>
      <xdr:rowOff>0</xdr:rowOff>
    </xdr:to>
    <xdr:sp>
      <xdr:nvSpPr>
        <xdr:cNvPr id="419" name="Rectangle 446"/>
        <xdr:cNvSpPr>
          <a:spLocks/>
        </xdr:cNvSpPr>
      </xdr:nvSpPr>
      <xdr:spPr>
        <a:xfrm>
          <a:off x="98898075" y="2819400"/>
          <a:ext cx="261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17</xdr:row>
      <xdr:rowOff>0</xdr:rowOff>
    </xdr:from>
    <xdr:to>
      <xdr:col>139</xdr:col>
      <xdr:colOff>0</xdr:colOff>
      <xdr:row>19</xdr:row>
      <xdr:rowOff>0</xdr:rowOff>
    </xdr:to>
    <xdr:sp>
      <xdr:nvSpPr>
        <xdr:cNvPr id="420" name="Rectangle 447"/>
        <xdr:cNvSpPr>
          <a:spLocks/>
        </xdr:cNvSpPr>
      </xdr:nvSpPr>
      <xdr:spPr>
        <a:xfrm>
          <a:off x="101517450" y="2819400"/>
          <a:ext cx="1057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135</xdr:col>
      <xdr:colOff>0</xdr:colOff>
      <xdr:row>19</xdr:row>
      <xdr:rowOff>0</xdr:rowOff>
    </xdr:to>
    <xdr:sp>
      <xdr:nvSpPr>
        <xdr:cNvPr id="421" name="Rectangle 448"/>
        <xdr:cNvSpPr>
          <a:spLocks/>
        </xdr:cNvSpPr>
      </xdr:nvSpPr>
      <xdr:spPr>
        <a:xfrm>
          <a:off x="98898075" y="2819400"/>
          <a:ext cx="676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17</xdr:row>
      <xdr:rowOff>0</xdr:rowOff>
    </xdr:from>
    <xdr:to>
      <xdr:col>142</xdr:col>
      <xdr:colOff>0</xdr:colOff>
      <xdr:row>19</xdr:row>
      <xdr:rowOff>0</xdr:rowOff>
    </xdr:to>
    <xdr:sp>
      <xdr:nvSpPr>
        <xdr:cNvPr id="422" name="Rectangle 449"/>
        <xdr:cNvSpPr>
          <a:spLocks/>
        </xdr:cNvSpPr>
      </xdr:nvSpPr>
      <xdr:spPr>
        <a:xfrm>
          <a:off x="102574725" y="2819400"/>
          <a:ext cx="19431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14</xdr:row>
      <xdr:rowOff>0</xdr:rowOff>
    </xdr:from>
    <xdr:to>
      <xdr:col>70</xdr:col>
      <xdr:colOff>0</xdr:colOff>
      <xdr:row>16</xdr:row>
      <xdr:rowOff>0</xdr:rowOff>
    </xdr:to>
    <xdr:sp>
      <xdr:nvSpPr>
        <xdr:cNvPr id="423" name="Rectangle 450"/>
        <xdr:cNvSpPr>
          <a:spLocks/>
        </xdr:cNvSpPr>
      </xdr:nvSpPr>
      <xdr:spPr>
        <a:xfrm>
          <a:off x="50977800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70</xdr:col>
      <xdr:colOff>0</xdr:colOff>
      <xdr:row>19</xdr:row>
      <xdr:rowOff>0</xdr:rowOff>
    </xdr:to>
    <xdr:sp>
      <xdr:nvSpPr>
        <xdr:cNvPr id="424" name="Rectangle 451"/>
        <xdr:cNvSpPr>
          <a:spLocks/>
        </xdr:cNvSpPr>
      </xdr:nvSpPr>
      <xdr:spPr>
        <a:xfrm>
          <a:off x="50977800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14</xdr:row>
      <xdr:rowOff>0</xdr:rowOff>
    </xdr:from>
    <xdr:to>
      <xdr:col>70</xdr:col>
      <xdr:colOff>0</xdr:colOff>
      <xdr:row>16</xdr:row>
      <xdr:rowOff>0</xdr:rowOff>
    </xdr:to>
    <xdr:sp>
      <xdr:nvSpPr>
        <xdr:cNvPr id="425" name="Rectangle 452"/>
        <xdr:cNvSpPr>
          <a:spLocks/>
        </xdr:cNvSpPr>
      </xdr:nvSpPr>
      <xdr:spPr>
        <a:xfrm>
          <a:off x="50977800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70</xdr:col>
      <xdr:colOff>0</xdr:colOff>
      <xdr:row>19</xdr:row>
      <xdr:rowOff>0</xdr:rowOff>
    </xdr:to>
    <xdr:sp>
      <xdr:nvSpPr>
        <xdr:cNvPr id="426" name="Rectangle 453"/>
        <xdr:cNvSpPr>
          <a:spLocks/>
        </xdr:cNvSpPr>
      </xdr:nvSpPr>
      <xdr:spPr>
        <a:xfrm>
          <a:off x="50977800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70</xdr:col>
      <xdr:colOff>0</xdr:colOff>
      <xdr:row>19</xdr:row>
      <xdr:rowOff>0</xdr:rowOff>
    </xdr:to>
    <xdr:sp>
      <xdr:nvSpPr>
        <xdr:cNvPr id="427" name="Rectangle 454"/>
        <xdr:cNvSpPr>
          <a:spLocks/>
        </xdr:cNvSpPr>
      </xdr:nvSpPr>
      <xdr:spPr>
        <a:xfrm>
          <a:off x="50977800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70</xdr:col>
      <xdr:colOff>0</xdr:colOff>
      <xdr:row>19</xdr:row>
      <xdr:rowOff>0</xdr:rowOff>
    </xdr:to>
    <xdr:sp>
      <xdr:nvSpPr>
        <xdr:cNvPr id="428" name="Rectangle 455"/>
        <xdr:cNvSpPr>
          <a:spLocks/>
        </xdr:cNvSpPr>
      </xdr:nvSpPr>
      <xdr:spPr>
        <a:xfrm>
          <a:off x="50977800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14</xdr:row>
      <xdr:rowOff>0</xdr:rowOff>
    </xdr:from>
    <xdr:to>
      <xdr:col>81</xdr:col>
      <xdr:colOff>0</xdr:colOff>
      <xdr:row>16</xdr:row>
      <xdr:rowOff>0</xdr:rowOff>
    </xdr:to>
    <xdr:sp>
      <xdr:nvSpPr>
        <xdr:cNvPr id="429" name="Rectangle 456"/>
        <xdr:cNvSpPr>
          <a:spLocks/>
        </xdr:cNvSpPr>
      </xdr:nvSpPr>
      <xdr:spPr>
        <a:xfrm>
          <a:off x="59083575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17</xdr:row>
      <xdr:rowOff>0</xdr:rowOff>
    </xdr:from>
    <xdr:to>
      <xdr:col>81</xdr:col>
      <xdr:colOff>0</xdr:colOff>
      <xdr:row>19</xdr:row>
      <xdr:rowOff>0</xdr:rowOff>
    </xdr:to>
    <xdr:sp>
      <xdr:nvSpPr>
        <xdr:cNvPr id="430" name="Rectangle 457"/>
        <xdr:cNvSpPr>
          <a:spLocks/>
        </xdr:cNvSpPr>
      </xdr:nvSpPr>
      <xdr:spPr>
        <a:xfrm>
          <a:off x="590835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14</xdr:row>
      <xdr:rowOff>0</xdr:rowOff>
    </xdr:from>
    <xdr:to>
      <xdr:col>81</xdr:col>
      <xdr:colOff>0</xdr:colOff>
      <xdr:row>16</xdr:row>
      <xdr:rowOff>0</xdr:rowOff>
    </xdr:to>
    <xdr:sp>
      <xdr:nvSpPr>
        <xdr:cNvPr id="431" name="Rectangle 458"/>
        <xdr:cNvSpPr>
          <a:spLocks/>
        </xdr:cNvSpPr>
      </xdr:nvSpPr>
      <xdr:spPr>
        <a:xfrm>
          <a:off x="59083575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17</xdr:row>
      <xdr:rowOff>0</xdr:rowOff>
    </xdr:from>
    <xdr:to>
      <xdr:col>81</xdr:col>
      <xdr:colOff>0</xdr:colOff>
      <xdr:row>19</xdr:row>
      <xdr:rowOff>0</xdr:rowOff>
    </xdr:to>
    <xdr:sp>
      <xdr:nvSpPr>
        <xdr:cNvPr id="432" name="Rectangle 459"/>
        <xdr:cNvSpPr>
          <a:spLocks/>
        </xdr:cNvSpPr>
      </xdr:nvSpPr>
      <xdr:spPr>
        <a:xfrm>
          <a:off x="590835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17</xdr:row>
      <xdr:rowOff>0</xdr:rowOff>
    </xdr:from>
    <xdr:to>
      <xdr:col>81</xdr:col>
      <xdr:colOff>0</xdr:colOff>
      <xdr:row>19</xdr:row>
      <xdr:rowOff>0</xdr:rowOff>
    </xdr:to>
    <xdr:sp>
      <xdr:nvSpPr>
        <xdr:cNvPr id="433" name="Rectangle 460"/>
        <xdr:cNvSpPr>
          <a:spLocks/>
        </xdr:cNvSpPr>
      </xdr:nvSpPr>
      <xdr:spPr>
        <a:xfrm>
          <a:off x="590835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17</xdr:row>
      <xdr:rowOff>0</xdr:rowOff>
    </xdr:from>
    <xdr:to>
      <xdr:col>81</xdr:col>
      <xdr:colOff>0</xdr:colOff>
      <xdr:row>19</xdr:row>
      <xdr:rowOff>0</xdr:rowOff>
    </xdr:to>
    <xdr:sp>
      <xdr:nvSpPr>
        <xdr:cNvPr id="434" name="Rectangle 461"/>
        <xdr:cNvSpPr>
          <a:spLocks/>
        </xdr:cNvSpPr>
      </xdr:nvSpPr>
      <xdr:spPr>
        <a:xfrm>
          <a:off x="59083575" y="2819400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14</xdr:row>
      <xdr:rowOff>0</xdr:rowOff>
    </xdr:from>
    <xdr:to>
      <xdr:col>103</xdr:col>
      <xdr:colOff>0</xdr:colOff>
      <xdr:row>16</xdr:row>
      <xdr:rowOff>0</xdr:rowOff>
    </xdr:to>
    <xdr:sp>
      <xdr:nvSpPr>
        <xdr:cNvPr id="435" name="Rectangle 462"/>
        <xdr:cNvSpPr>
          <a:spLocks/>
        </xdr:cNvSpPr>
      </xdr:nvSpPr>
      <xdr:spPr>
        <a:xfrm>
          <a:off x="75266550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14</xdr:row>
      <xdr:rowOff>0</xdr:rowOff>
    </xdr:from>
    <xdr:to>
      <xdr:col>103</xdr:col>
      <xdr:colOff>0</xdr:colOff>
      <xdr:row>16</xdr:row>
      <xdr:rowOff>0</xdr:rowOff>
    </xdr:to>
    <xdr:sp>
      <xdr:nvSpPr>
        <xdr:cNvPr id="436" name="Rectangle 463"/>
        <xdr:cNvSpPr>
          <a:spLocks/>
        </xdr:cNvSpPr>
      </xdr:nvSpPr>
      <xdr:spPr>
        <a:xfrm>
          <a:off x="75266550" y="2314575"/>
          <a:ext cx="647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9</xdr:col>
      <xdr:colOff>0</xdr:colOff>
      <xdr:row>15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53149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>
      <xdr:nvSpPr>
        <xdr:cNvPr id="2" name="Rectangle 19"/>
        <xdr:cNvSpPr>
          <a:spLocks/>
        </xdr:cNvSpPr>
      </xdr:nvSpPr>
      <xdr:spPr>
        <a:xfrm>
          <a:off x="164782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24</xdr:row>
      <xdr:rowOff>0</xdr:rowOff>
    </xdr:to>
    <xdr:sp>
      <xdr:nvSpPr>
        <xdr:cNvPr id="3" name="Rectangle 20"/>
        <xdr:cNvSpPr>
          <a:spLocks/>
        </xdr:cNvSpPr>
      </xdr:nvSpPr>
      <xdr:spPr>
        <a:xfrm>
          <a:off x="4267200" y="3495675"/>
          <a:ext cx="10477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24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164782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5" name="Rectangle 22"/>
        <xdr:cNvSpPr>
          <a:spLocks/>
        </xdr:cNvSpPr>
      </xdr:nvSpPr>
      <xdr:spPr>
        <a:xfrm>
          <a:off x="164782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6" name="Rectangle 23"/>
        <xdr:cNvSpPr>
          <a:spLocks/>
        </xdr:cNvSpPr>
      </xdr:nvSpPr>
      <xdr:spPr>
        <a:xfrm>
          <a:off x="164782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19</xdr:row>
      <xdr:rowOff>0</xdr:rowOff>
    </xdr:to>
    <xdr:sp>
      <xdr:nvSpPr>
        <xdr:cNvPr id="7" name="Rectangle 24"/>
        <xdr:cNvSpPr>
          <a:spLocks/>
        </xdr:cNvSpPr>
      </xdr:nvSpPr>
      <xdr:spPr>
        <a:xfrm>
          <a:off x="232410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15</xdr:row>
      <xdr:rowOff>0</xdr:rowOff>
    </xdr:to>
    <xdr:sp>
      <xdr:nvSpPr>
        <xdr:cNvPr id="8" name="Rectangle 25"/>
        <xdr:cNvSpPr>
          <a:spLocks/>
        </xdr:cNvSpPr>
      </xdr:nvSpPr>
      <xdr:spPr>
        <a:xfrm>
          <a:off x="232410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15</xdr:row>
      <xdr:rowOff>0</xdr:rowOff>
    </xdr:to>
    <xdr:sp>
      <xdr:nvSpPr>
        <xdr:cNvPr id="9" name="Rectangle 26"/>
        <xdr:cNvSpPr>
          <a:spLocks/>
        </xdr:cNvSpPr>
      </xdr:nvSpPr>
      <xdr:spPr>
        <a:xfrm>
          <a:off x="4267200" y="1800225"/>
          <a:ext cx="10477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0" name="Rectangle 27"/>
        <xdr:cNvSpPr>
          <a:spLocks/>
        </xdr:cNvSpPr>
      </xdr:nvSpPr>
      <xdr:spPr>
        <a:xfrm>
          <a:off x="4267200" y="2647950"/>
          <a:ext cx="10477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15</xdr:row>
      <xdr:rowOff>0</xdr:rowOff>
    </xdr:to>
    <xdr:sp>
      <xdr:nvSpPr>
        <xdr:cNvPr id="11" name="Rectangle 28"/>
        <xdr:cNvSpPr>
          <a:spLocks/>
        </xdr:cNvSpPr>
      </xdr:nvSpPr>
      <xdr:spPr>
        <a:xfrm>
          <a:off x="164782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5</xdr:col>
      <xdr:colOff>0</xdr:colOff>
      <xdr:row>15</xdr:row>
      <xdr:rowOff>0</xdr:rowOff>
    </xdr:to>
    <xdr:sp>
      <xdr:nvSpPr>
        <xdr:cNvPr id="12" name="Rectangle 29"/>
        <xdr:cNvSpPr>
          <a:spLocks/>
        </xdr:cNvSpPr>
      </xdr:nvSpPr>
      <xdr:spPr>
        <a:xfrm>
          <a:off x="232410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15</xdr:row>
      <xdr:rowOff>0</xdr:rowOff>
    </xdr:to>
    <xdr:sp>
      <xdr:nvSpPr>
        <xdr:cNvPr id="13" name="Rectangle 30"/>
        <xdr:cNvSpPr>
          <a:spLocks/>
        </xdr:cNvSpPr>
      </xdr:nvSpPr>
      <xdr:spPr>
        <a:xfrm>
          <a:off x="4267200" y="1628775"/>
          <a:ext cx="104775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15</xdr:row>
      <xdr:rowOff>0</xdr:rowOff>
    </xdr:to>
    <xdr:sp>
      <xdr:nvSpPr>
        <xdr:cNvPr id="14" name="Rectangle 31"/>
        <xdr:cNvSpPr>
          <a:spLocks/>
        </xdr:cNvSpPr>
      </xdr:nvSpPr>
      <xdr:spPr>
        <a:xfrm>
          <a:off x="53149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5" name="Rectangle 32"/>
        <xdr:cNvSpPr>
          <a:spLocks/>
        </xdr:cNvSpPr>
      </xdr:nvSpPr>
      <xdr:spPr>
        <a:xfrm>
          <a:off x="53149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9</xdr:col>
      <xdr:colOff>0</xdr:colOff>
      <xdr:row>24</xdr:row>
      <xdr:rowOff>0</xdr:rowOff>
    </xdr:to>
    <xdr:sp>
      <xdr:nvSpPr>
        <xdr:cNvPr id="16" name="Rectangle 33"/>
        <xdr:cNvSpPr>
          <a:spLocks/>
        </xdr:cNvSpPr>
      </xdr:nvSpPr>
      <xdr:spPr>
        <a:xfrm>
          <a:off x="53149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19</xdr:col>
      <xdr:colOff>0</xdr:colOff>
      <xdr:row>15</xdr:row>
      <xdr:rowOff>0</xdr:rowOff>
    </xdr:to>
    <xdr:sp>
      <xdr:nvSpPr>
        <xdr:cNvPr id="17" name="Rectangle 34"/>
        <xdr:cNvSpPr>
          <a:spLocks/>
        </xdr:cNvSpPr>
      </xdr:nvSpPr>
      <xdr:spPr>
        <a:xfrm>
          <a:off x="132778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15</xdr:col>
      <xdr:colOff>0</xdr:colOff>
      <xdr:row>24</xdr:row>
      <xdr:rowOff>0</xdr:rowOff>
    </xdr:to>
    <xdr:sp>
      <xdr:nvSpPr>
        <xdr:cNvPr id="18" name="Rectangle 35"/>
        <xdr:cNvSpPr>
          <a:spLocks/>
        </xdr:cNvSpPr>
      </xdr:nvSpPr>
      <xdr:spPr>
        <a:xfrm>
          <a:off x="96678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24</xdr:row>
      <xdr:rowOff>0</xdr:rowOff>
    </xdr:to>
    <xdr:sp>
      <xdr:nvSpPr>
        <xdr:cNvPr id="19" name="Rectangle 36"/>
        <xdr:cNvSpPr>
          <a:spLocks/>
        </xdr:cNvSpPr>
      </xdr:nvSpPr>
      <xdr:spPr>
        <a:xfrm>
          <a:off x="122872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0</xdr:colOff>
      <xdr:row>24</xdr:row>
      <xdr:rowOff>0</xdr:rowOff>
    </xdr:to>
    <xdr:sp>
      <xdr:nvSpPr>
        <xdr:cNvPr id="20" name="Rectangle 37"/>
        <xdr:cNvSpPr>
          <a:spLocks/>
        </xdr:cNvSpPr>
      </xdr:nvSpPr>
      <xdr:spPr>
        <a:xfrm>
          <a:off x="96678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15</xdr:row>
      <xdr:rowOff>0</xdr:rowOff>
    </xdr:to>
    <xdr:sp>
      <xdr:nvSpPr>
        <xdr:cNvPr id="21" name="Rectangle 38"/>
        <xdr:cNvSpPr>
          <a:spLocks/>
        </xdr:cNvSpPr>
      </xdr:nvSpPr>
      <xdr:spPr>
        <a:xfrm>
          <a:off x="96678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19</xdr:row>
      <xdr:rowOff>0</xdr:rowOff>
    </xdr:to>
    <xdr:sp>
      <xdr:nvSpPr>
        <xdr:cNvPr id="22" name="Rectangle 39"/>
        <xdr:cNvSpPr>
          <a:spLocks/>
        </xdr:cNvSpPr>
      </xdr:nvSpPr>
      <xdr:spPr>
        <a:xfrm>
          <a:off x="96678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15</xdr:col>
      <xdr:colOff>0</xdr:colOff>
      <xdr:row>19</xdr:row>
      <xdr:rowOff>0</xdr:rowOff>
    </xdr:to>
    <xdr:sp>
      <xdr:nvSpPr>
        <xdr:cNvPr id="23" name="Rectangle 40"/>
        <xdr:cNvSpPr>
          <a:spLocks/>
        </xdr:cNvSpPr>
      </xdr:nvSpPr>
      <xdr:spPr>
        <a:xfrm>
          <a:off x="103441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15</xdr:col>
      <xdr:colOff>0</xdr:colOff>
      <xdr:row>15</xdr:row>
      <xdr:rowOff>0</xdr:rowOff>
    </xdr:to>
    <xdr:sp>
      <xdr:nvSpPr>
        <xdr:cNvPr id="24" name="Rectangle 41"/>
        <xdr:cNvSpPr>
          <a:spLocks/>
        </xdr:cNvSpPr>
      </xdr:nvSpPr>
      <xdr:spPr>
        <a:xfrm>
          <a:off x="103441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15</xdr:row>
      <xdr:rowOff>0</xdr:rowOff>
    </xdr:to>
    <xdr:sp>
      <xdr:nvSpPr>
        <xdr:cNvPr id="25" name="Rectangle 42"/>
        <xdr:cNvSpPr>
          <a:spLocks/>
        </xdr:cNvSpPr>
      </xdr:nvSpPr>
      <xdr:spPr>
        <a:xfrm>
          <a:off x="122872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19</xdr:row>
      <xdr:rowOff>0</xdr:rowOff>
    </xdr:to>
    <xdr:sp>
      <xdr:nvSpPr>
        <xdr:cNvPr id="26" name="Rectangle 43"/>
        <xdr:cNvSpPr>
          <a:spLocks/>
        </xdr:cNvSpPr>
      </xdr:nvSpPr>
      <xdr:spPr>
        <a:xfrm>
          <a:off x="122872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15</xdr:row>
      <xdr:rowOff>0</xdr:rowOff>
    </xdr:to>
    <xdr:sp>
      <xdr:nvSpPr>
        <xdr:cNvPr id="27" name="Rectangle 44"/>
        <xdr:cNvSpPr>
          <a:spLocks/>
        </xdr:cNvSpPr>
      </xdr:nvSpPr>
      <xdr:spPr>
        <a:xfrm>
          <a:off x="96678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15</xdr:col>
      <xdr:colOff>0</xdr:colOff>
      <xdr:row>15</xdr:row>
      <xdr:rowOff>0</xdr:rowOff>
    </xdr:to>
    <xdr:sp>
      <xdr:nvSpPr>
        <xdr:cNvPr id="28" name="Rectangle 45"/>
        <xdr:cNvSpPr>
          <a:spLocks/>
        </xdr:cNvSpPr>
      </xdr:nvSpPr>
      <xdr:spPr>
        <a:xfrm>
          <a:off x="103441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15</xdr:row>
      <xdr:rowOff>0</xdr:rowOff>
    </xdr:to>
    <xdr:sp>
      <xdr:nvSpPr>
        <xdr:cNvPr id="29" name="Rectangle 46"/>
        <xdr:cNvSpPr>
          <a:spLocks/>
        </xdr:cNvSpPr>
      </xdr:nvSpPr>
      <xdr:spPr>
        <a:xfrm>
          <a:off x="122872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15</xdr:row>
      <xdr:rowOff>0</xdr:rowOff>
    </xdr:to>
    <xdr:sp>
      <xdr:nvSpPr>
        <xdr:cNvPr id="30" name="Rectangle 47"/>
        <xdr:cNvSpPr>
          <a:spLocks/>
        </xdr:cNvSpPr>
      </xdr:nvSpPr>
      <xdr:spPr>
        <a:xfrm>
          <a:off x="132778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19</xdr:col>
      <xdr:colOff>0</xdr:colOff>
      <xdr:row>19</xdr:row>
      <xdr:rowOff>0</xdr:rowOff>
    </xdr:to>
    <xdr:sp>
      <xdr:nvSpPr>
        <xdr:cNvPr id="31" name="Rectangle 48"/>
        <xdr:cNvSpPr>
          <a:spLocks/>
        </xdr:cNvSpPr>
      </xdr:nvSpPr>
      <xdr:spPr>
        <a:xfrm>
          <a:off x="132778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19</xdr:col>
      <xdr:colOff>0</xdr:colOff>
      <xdr:row>24</xdr:row>
      <xdr:rowOff>0</xdr:rowOff>
    </xdr:to>
    <xdr:sp>
      <xdr:nvSpPr>
        <xdr:cNvPr id="32" name="Rectangle 49"/>
        <xdr:cNvSpPr>
          <a:spLocks/>
        </xdr:cNvSpPr>
      </xdr:nvSpPr>
      <xdr:spPr>
        <a:xfrm>
          <a:off x="132778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29</xdr:col>
      <xdr:colOff>0</xdr:colOff>
      <xdr:row>15</xdr:row>
      <xdr:rowOff>0</xdr:rowOff>
    </xdr:to>
    <xdr:sp>
      <xdr:nvSpPr>
        <xdr:cNvPr id="33" name="Rectangle 50"/>
        <xdr:cNvSpPr>
          <a:spLocks/>
        </xdr:cNvSpPr>
      </xdr:nvSpPr>
      <xdr:spPr>
        <a:xfrm>
          <a:off x="212407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25</xdr:col>
      <xdr:colOff>0</xdr:colOff>
      <xdr:row>24</xdr:row>
      <xdr:rowOff>0</xdr:rowOff>
    </xdr:to>
    <xdr:sp>
      <xdr:nvSpPr>
        <xdr:cNvPr id="34" name="Rectangle 51"/>
        <xdr:cNvSpPr>
          <a:spLocks/>
        </xdr:cNvSpPr>
      </xdr:nvSpPr>
      <xdr:spPr>
        <a:xfrm>
          <a:off x="176307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24</xdr:row>
      <xdr:rowOff>0</xdr:rowOff>
    </xdr:to>
    <xdr:sp>
      <xdr:nvSpPr>
        <xdr:cNvPr id="35" name="Rectangle 52"/>
        <xdr:cNvSpPr>
          <a:spLocks/>
        </xdr:cNvSpPr>
      </xdr:nvSpPr>
      <xdr:spPr>
        <a:xfrm>
          <a:off x="202501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24</xdr:row>
      <xdr:rowOff>0</xdr:rowOff>
    </xdr:to>
    <xdr:sp>
      <xdr:nvSpPr>
        <xdr:cNvPr id="36" name="Rectangle 53"/>
        <xdr:cNvSpPr>
          <a:spLocks/>
        </xdr:cNvSpPr>
      </xdr:nvSpPr>
      <xdr:spPr>
        <a:xfrm>
          <a:off x="176307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15</xdr:row>
      <xdr:rowOff>0</xdr:rowOff>
    </xdr:to>
    <xdr:sp>
      <xdr:nvSpPr>
        <xdr:cNvPr id="37" name="Rectangle 54"/>
        <xdr:cNvSpPr>
          <a:spLocks/>
        </xdr:cNvSpPr>
      </xdr:nvSpPr>
      <xdr:spPr>
        <a:xfrm>
          <a:off x="176307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22</xdr:col>
      <xdr:colOff>0</xdr:colOff>
      <xdr:row>19</xdr:row>
      <xdr:rowOff>0</xdr:rowOff>
    </xdr:to>
    <xdr:sp>
      <xdr:nvSpPr>
        <xdr:cNvPr id="38" name="Rectangle 55"/>
        <xdr:cNvSpPr>
          <a:spLocks/>
        </xdr:cNvSpPr>
      </xdr:nvSpPr>
      <xdr:spPr>
        <a:xfrm>
          <a:off x="176307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25</xdr:col>
      <xdr:colOff>0</xdr:colOff>
      <xdr:row>19</xdr:row>
      <xdr:rowOff>0</xdr:rowOff>
    </xdr:to>
    <xdr:sp>
      <xdr:nvSpPr>
        <xdr:cNvPr id="39" name="Rectangle 56"/>
        <xdr:cNvSpPr>
          <a:spLocks/>
        </xdr:cNvSpPr>
      </xdr:nvSpPr>
      <xdr:spPr>
        <a:xfrm>
          <a:off x="183070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25</xdr:col>
      <xdr:colOff>0</xdr:colOff>
      <xdr:row>15</xdr:row>
      <xdr:rowOff>0</xdr:rowOff>
    </xdr:to>
    <xdr:sp>
      <xdr:nvSpPr>
        <xdr:cNvPr id="40" name="Rectangle 57"/>
        <xdr:cNvSpPr>
          <a:spLocks/>
        </xdr:cNvSpPr>
      </xdr:nvSpPr>
      <xdr:spPr>
        <a:xfrm>
          <a:off x="183070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15</xdr:row>
      <xdr:rowOff>0</xdr:rowOff>
    </xdr:to>
    <xdr:sp>
      <xdr:nvSpPr>
        <xdr:cNvPr id="41" name="Rectangle 58"/>
        <xdr:cNvSpPr>
          <a:spLocks/>
        </xdr:cNvSpPr>
      </xdr:nvSpPr>
      <xdr:spPr>
        <a:xfrm>
          <a:off x="202501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19</xdr:row>
      <xdr:rowOff>0</xdr:rowOff>
    </xdr:to>
    <xdr:sp>
      <xdr:nvSpPr>
        <xdr:cNvPr id="42" name="Rectangle 59"/>
        <xdr:cNvSpPr>
          <a:spLocks/>
        </xdr:cNvSpPr>
      </xdr:nvSpPr>
      <xdr:spPr>
        <a:xfrm>
          <a:off x="202501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22</xdr:col>
      <xdr:colOff>0</xdr:colOff>
      <xdr:row>15</xdr:row>
      <xdr:rowOff>0</xdr:rowOff>
    </xdr:to>
    <xdr:sp>
      <xdr:nvSpPr>
        <xdr:cNvPr id="43" name="Rectangle 60"/>
        <xdr:cNvSpPr>
          <a:spLocks/>
        </xdr:cNvSpPr>
      </xdr:nvSpPr>
      <xdr:spPr>
        <a:xfrm>
          <a:off x="176307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25</xdr:col>
      <xdr:colOff>0</xdr:colOff>
      <xdr:row>15</xdr:row>
      <xdr:rowOff>0</xdr:rowOff>
    </xdr:to>
    <xdr:sp>
      <xdr:nvSpPr>
        <xdr:cNvPr id="44" name="Rectangle 61"/>
        <xdr:cNvSpPr>
          <a:spLocks/>
        </xdr:cNvSpPr>
      </xdr:nvSpPr>
      <xdr:spPr>
        <a:xfrm>
          <a:off x="183070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15</xdr:row>
      <xdr:rowOff>0</xdr:rowOff>
    </xdr:to>
    <xdr:sp>
      <xdr:nvSpPr>
        <xdr:cNvPr id="45" name="Rectangle 62"/>
        <xdr:cNvSpPr>
          <a:spLocks/>
        </xdr:cNvSpPr>
      </xdr:nvSpPr>
      <xdr:spPr>
        <a:xfrm>
          <a:off x="202501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29</xdr:col>
      <xdr:colOff>0</xdr:colOff>
      <xdr:row>15</xdr:row>
      <xdr:rowOff>0</xdr:rowOff>
    </xdr:to>
    <xdr:sp>
      <xdr:nvSpPr>
        <xdr:cNvPr id="46" name="Rectangle 63"/>
        <xdr:cNvSpPr>
          <a:spLocks/>
        </xdr:cNvSpPr>
      </xdr:nvSpPr>
      <xdr:spPr>
        <a:xfrm>
          <a:off x="212407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29</xdr:col>
      <xdr:colOff>0</xdr:colOff>
      <xdr:row>19</xdr:row>
      <xdr:rowOff>0</xdr:rowOff>
    </xdr:to>
    <xdr:sp>
      <xdr:nvSpPr>
        <xdr:cNvPr id="47" name="Rectangle 64"/>
        <xdr:cNvSpPr>
          <a:spLocks/>
        </xdr:cNvSpPr>
      </xdr:nvSpPr>
      <xdr:spPr>
        <a:xfrm>
          <a:off x="212407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29</xdr:col>
      <xdr:colOff>0</xdr:colOff>
      <xdr:row>24</xdr:row>
      <xdr:rowOff>0</xdr:rowOff>
    </xdr:to>
    <xdr:sp>
      <xdr:nvSpPr>
        <xdr:cNvPr id="48" name="Rectangle 65"/>
        <xdr:cNvSpPr>
          <a:spLocks/>
        </xdr:cNvSpPr>
      </xdr:nvSpPr>
      <xdr:spPr>
        <a:xfrm>
          <a:off x="212407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39</xdr:col>
      <xdr:colOff>0</xdr:colOff>
      <xdr:row>15</xdr:row>
      <xdr:rowOff>0</xdr:rowOff>
    </xdr:to>
    <xdr:sp>
      <xdr:nvSpPr>
        <xdr:cNvPr id="49" name="Rectangle 66"/>
        <xdr:cNvSpPr>
          <a:spLocks/>
        </xdr:cNvSpPr>
      </xdr:nvSpPr>
      <xdr:spPr>
        <a:xfrm>
          <a:off x="292036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35</xdr:col>
      <xdr:colOff>0</xdr:colOff>
      <xdr:row>24</xdr:row>
      <xdr:rowOff>0</xdr:rowOff>
    </xdr:to>
    <xdr:sp>
      <xdr:nvSpPr>
        <xdr:cNvPr id="50" name="Rectangle 67"/>
        <xdr:cNvSpPr>
          <a:spLocks/>
        </xdr:cNvSpPr>
      </xdr:nvSpPr>
      <xdr:spPr>
        <a:xfrm>
          <a:off x="255936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0</xdr:rowOff>
    </xdr:from>
    <xdr:to>
      <xdr:col>36</xdr:col>
      <xdr:colOff>0</xdr:colOff>
      <xdr:row>24</xdr:row>
      <xdr:rowOff>0</xdr:rowOff>
    </xdr:to>
    <xdr:sp>
      <xdr:nvSpPr>
        <xdr:cNvPr id="51" name="Rectangle 68"/>
        <xdr:cNvSpPr>
          <a:spLocks/>
        </xdr:cNvSpPr>
      </xdr:nvSpPr>
      <xdr:spPr>
        <a:xfrm>
          <a:off x="282130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24</xdr:row>
      <xdr:rowOff>0</xdr:rowOff>
    </xdr:to>
    <xdr:sp>
      <xdr:nvSpPr>
        <xdr:cNvPr id="52" name="Rectangle 69"/>
        <xdr:cNvSpPr>
          <a:spLocks/>
        </xdr:cNvSpPr>
      </xdr:nvSpPr>
      <xdr:spPr>
        <a:xfrm>
          <a:off x="255936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0</xdr:colOff>
      <xdr:row>15</xdr:row>
      <xdr:rowOff>0</xdr:rowOff>
    </xdr:to>
    <xdr:sp>
      <xdr:nvSpPr>
        <xdr:cNvPr id="53" name="Rectangle 70"/>
        <xdr:cNvSpPr>
          <a:spLocks/>
        </xdr:cNvSpPr>
      </xdr:nvSpPr>
      <xdr:spPr>
        <a:xfrm>
          <a:off x="255936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32</xdr:col>
      <xdr:colOff>0</xdr:colOff>
      <xdr:row>19</xdr:row>
      <xdr:rowOff>0</xdr:rowOff>
    </xdr:to>
    <xdr:sp>
      <xdr:nvSpPr>
        <xdr:cNvPr id="54" name="Rectangle 71"/>
        <xdr:cNvSpPr>
          <a:spLocks/>
        </xdr:cNvSpPr>
      </xdr:nvSpPr>
      <xdr:spPr>
        <a:xfrm>
          <a:off x="255936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35</xdr:col>
      <xdr:colOff>0</xdr:colOff>
      <xdr:row>19</xdr:row>
      <xdr:rowOff>0</xdr:rowOff>
    </xdr:to>
    <xdr:sp>
      <xdr:nvSpPr>
        <xdr:cNvPr id="55" name="Rectangle 72"/>
        <xdr:cNvSpPr>
          <a:spLocks/>
        </xdr:cNvSpPr>
      </xdr:nvSpPr>
      <xdr:spPr>
        <a:xfrm>
          <a:off x="262699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35</xdr:col>
      <xdr:colOff>0</xdr:colOff>
      <xdr:row>15</xdr:row>
      <xdr:rowOff>0</xdr:rowOff>
    </xdr:to>
    <xdr:sp>
      <xdr:nvSpPr>
        <xdr:cNvPr id="56" name="Rectangle 73"/>
        <xdr:cNvSpPr>
          <a:spLocks/>
        </xdr:cNvSpPr>
      </xdr:nvSpPr>
      <xdr:spPr>
        <a:xfrm>
          <a:off x="262699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36</xdr:col>
      <xdr:colOff>0</xdr:colOff>
      <xdr:row>15</xdr:row>
      <xdr:rowOff>0</xdr:rowOff>
    </xdr:to>
    <xdr:sp>
      <xdr:nvSpPr>
        <xdr:cNvPr id="57" name="Rectangle 74"/>
        <xdr:cNvSpPr>
          <a:spLocks/>
        </xdr:cNvSpPr>
      </xdr:nvSpPr>
      <xdr:spPr>
        <a:xfrm>
          <a:off x="282130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0</xdr:rowOff>
    </xdr:from>
    <xdr:to>
      <xdr:col>36</xdr:col>
      <xdr:colOff>0</xdr:colOff>
      <xdr:row>19</xdr:row>
      <xdr:rowOff>0</xdr:rowOff>
    </xdr:to>
    <xdr:sp>
      <xdr:nvSpPr>
        <xdr:cNvPr id="58" name="Rectangle 75"/>
        <xdr:cNvSpPr>
          <a:spLocks/>
        </xdr:cNvSpPr>
      </xdr:nvSpPr>
      <xdr:spPr>
        <a:xfrm>
          <a:off x="282130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32</xdr:col>
      <xdr:colOff>0</xdr:colOff>
      <xdr:row>15</xdr:row>
      <xdr:rowOff>0</xdr:rowOff>
    </xdr:to>
    <xdr:sp>
      <xdr:nvSpPr>
        <xdr:cNvPr id="59" name="Rectangle 76"/>
        <xdr:cNvSpPr>
          <a:spLocks/>
        </xdr:cNvSpPr>
      </xdr:nvSpPr>
      <xdr:spPr>
        <a:xfrm>
          <a:off x="255936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35</xdr:col>
      <xdr:colOff>0</xdr:colOff>
      <xdr:row>15</xdr:row>
      <xdr:rowOff>0</xdr:rowOff>
    </xdr:to>
    <xdr:sp>
      <xdr:nvSpPr>
        <xdr:cNvPr id="60" name="Rectangle 77"/>
        <xdr:cNvSpPr>
          <a:spLocks/>
        </xdr:cNvSpPr>
      </xdr:nvSpPr>
      <xdr:spPr>
        <a:xfrm>
          <a:off x="262699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15</xdr:row>
      <xdr:rowOff>0</xdr:rowOff>
    </xdr:to>
    <xdr:sp>
      <xdr:nvSpPr>
        <xdr:cNvPr id="61" name="Rectangle 78"/>
        <xdr:cNvSpPr>
          <a:spLocks/>
        </xdr:cNvSpPr>
      </xdr:nvSpPr>
      <xdr:spPr>
        <a:xfrm>
          <a:off x="282130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39</xdr:col>
      <xdr:colOff>0</xdr:colOff>
      <xdr:row>15</xdr:row>
      <xdr:rowOff>0</xdr:rowOff>
    </xdr:to>
    <xdr:sp>
      <xdr:nvSpPr>
        <xdr:cNvPr id="62" name="Rectangle 79"/>
        <xdr:cNvSpPr>
          <a:spLocks/>
        </xdr:cNvSpPr>
      </xdr:nvSpPr>
      <xdr:spPr>
        <a:xfrm>
          <a:off x="292036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0</xdr:rowOff>
    </xdr:from>
    <xdr:to>
      <xdr:col>39</xdr:col>
      <xdr:colOff>0</xdr:colOff>
      <xdr:row>19</xdr:row>
      <xdr:rowOff>0</xdr:rowOff>
    </xdr:to>
    <xdr:sp>
      <xdr:nvSpPr>
        <xdr:cNvPr id="63" name="Rectangle 80"/>
        <xdr:cNvSpPr>
          <a:spLocks/>
        </xdr:cNvSpPr>
      </xdr:nvSpPr>
      <xdr:spPr>
        <a:xfrm>
          <a:off x="292036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39</xdr:col>
      <xdr:colOff>0</xdr:colOff>
      <xdr:row>24</xdr:row>
      <xdr:rowOff>0</xdr:rowOff>
    </xdr:to>
    <xdr:sp>
      <xdr:nvSpPr>
        <xdr:cNvPr id="64" name="Rectangle 81"/>
        <xdr:cNvSpPr>
          <a:spLocks/>
        </xdr:cNvSpPr>
      </xdr:nvSpPr>
      <xdr:spPr>
        <a:xfrm>
          <a:off x="292036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49</xdr:col>
      <xdr:colOff>0</xdr:colOff>
      <xdr:row>15</xdr:row>
      <xdr:rowOff>0</xdr:rowOff>
    </xdr:to>
    <xdr:sp>
      <xdr:nvSpPr>
        <xdr:cNvPr id="65" name="Rectangle 82"/>
        <xdr:cNvSpPr>
          <a:spLocks/>
        </xdr:cNvSpPr>
      </xdr:nvSpPr>
      <xdr:spPr>
        <a:xfrm>
          <a:off x="371665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45</xdr:col>
      <xdr:colOff>0</xdr:colOff>
      <xdr:row>24</xdr:row>
      <xdr:rowOff>0</xdr:rowOff>
    </xdr:to>
    <xdr:sp>
      <xdr:nvSpPr>
        <xdr:cNvPr id="66" name="Rectangle 83"/>
        <xdr:cNvSpPr>
          <a:spLocks/>
        </xdr:cNvSpPr>
      </xdr:nvSpPr>
      <xdr:spPr>
        <a:xfrm>
          <a:off x="335565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0</xdr:colOff>
      <xdr:row>24</xdr:row>
      <xdr:rowOff>0</xdr:rowOff>
    </xdr:to>
    <xdr:sp>
      <xdr:nvSpPr>
        <xdr:cNvPr id="67" name="Rectangle 84"/>
        <xdr:cNvSpPr>
          <a:spLocks/>
        </xdr:cNvSpPr>
      </xdr:nvSpPr>
      <xdr:spPr>
        <a:xfrm>
          <a:off x="361759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42</xdr:col>
      <xdr:colOff>0</xdr:colOff>
      <xdr:row>24</xdr:row>
      <xdr:rowOff>0</xdr:rowOff>
    </xdr:to>
    <xdr:sp>
      <xdr:nvSpPr>
        <xdr:cNvPr id="68" name="Rectangle 85"/>
        <xdr:cNvSpPr>
          <a:spLocks/>
        </xdr:cNvSpPr>
      </xdr:nvSpPr>
      <xdr:spPr>
        <a:xfrm>
          <a:off x="335565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0</xdr:rowOff>
    </xdr:from>
    <xdr:to>
      <xdr:col>42</xdr:col>
      <xdr:colOff>0</xdr:colOff>
      <xdr:row>15</xdr:row>
      <xdr:rowOff>0</xdr:rowOff>
    </xdr:to>
    <xdr:sp>
      <xdr:nvSpPr>
        <xdr:cNvPr id="69" name="Rectangle 86"/>
        <xdr:cNvSpPr>
          <a:spLocks/>
        </xdr:cNvSpPr>
      </xdr:nvSpPr>
      <xdr:spPr>
        <a:xfrm>
          <a:off x="335565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0</xdr:rowOff>
    </xdr:from>
    <xdr:to>
      <xdr:col>42</xdr:col>
      <xdr:colOff>0</xdr:colOff>
      <xdr:row>19</xdr:row>
      <xdr:rowOff>0</xdr:rowOff>
    </xdr:to>
    <xdr:sp>
      <xdr:nvSpPr>
        <xdr:cNvPr id="70" name="Rectangle 87"/>
        <xdr:cNvSpPr>
          <a:spLocks/>
        </xdr:cNvSpPr>
      </xdr:nvSpPr>
      <xdr:spPr>
        <a:xfrm>
          <a:off x="335565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0</xdr:rowOff>
    </xdr:from>
    <xdr:to>
      <xdr:col>45</xdr:col>
      <xdr:colOff>0</xdr:colOff>
      <xdr:row>19</xdr:row>
      <xdr:rowOff>0</xdr:rowOff>
    </xdr:to>
    <xdr:sp>
      <xdr:nvSpPr>
        <xdr:cNvPr id="71" name="Rectangle 88"/>
        <xdr:cNvSpPr>
          <a:spLocks/>
        </xdr:cNvSpPr>
      </xdr:nvSpPr>
      <xdr:spPr>
        <a:xfrm>
          <a:off x="342328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0</xdr:rowOff>
    </xdr:from>
    <xdr:to>
      <xdr:col>45</xdr:col>
      <xdr:colOff>0</xdr:colOff>
      <xdr:row>15</xdr:row>
      <xdr:rowOff>0</xdr:rowOff>
    </xdr:to>
    <xdr:sp>
      <xdr:nvSpPr>
        <xdr:cNvPr id="72" name="Rectangle 89"/>
        <xdr:cNvSpPr>
          <a:spLocks/>
        </xdr:cNvSpPr>
      </xdr:nvSpPr>
      <xdr:spPr>
        <a:xfrm>
          <a:off x="342328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11</xdr:row>
      <xdr:rowOff>0</xdr:rowOff>
    </xdr:from>
    <xdr:to>
      <xdr:col>46</xdr:col>
      <xdr:colOff>0</xdr:colOff>
      <xdr:row>15</xdr:row>
      <xdr:rowOff>0</xdr:rowOff>
    </xdr:to>
    <xdr:sp>
      <xdr:nvSpPr>
        <xdr:cNvPr id="73" name="Rectangle 90"/>
        <xdr:cNvSpPr>
          <a:spLocks/>
        </xdr:cNvSpPr>
      </xdr:nvSpPr>
      <xdr:spPr>
        <a:xfrm>
          <a:off x="361759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0</xdr:colOff>
      <xdr:row>19</xdr:row>
      <xdr:rowOff>0</xdr:rowOff>
    </xdr:to>
    <xdr:sp>
      <xdr:nvSpPr>
        <xdr:cNvPr id="74" name="Rectangle 91"/>
        <xdr:cNvSpPr>
          <a:spLocks/>
        </xdr:cNvSpPr>
      </xdr:nvSpPr>
      <xdr:spPr>
        <a:xfrm>
          <a:off x="361759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10</xdr:row>
      <xdr:rowOff>0</xdr:rowOff>
    </xdr:from>
    <xdr:to>
      <xdr:col>42</xdr:col>
      <xdr:colOff>0</xdr:colOff>
      <xdr:row>15</xdr:row>
      <xdr:rowOff>0</xdr:rowOff>
    </xdr:to>
    <xdr:sp>
      <xdr:nvSpPr>
        <xdr:cNvPr id="75" name="Rectangle 92"/>
        <xdr:cNvSpPr>
          <a:spLocks/>
        </xdr:cNvSpPr>
      </xdr:nvSpPr>
      <xdr:spPr>
        <a:xfrm>
          <a:off x="335565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0</xdr:rowOff>
    </xdr:from>
    <xdr:to>
      <xdr:col>45</xdr:col>
      <xdr:colOff>0</xdr:colOff>
      <xdr:row>15</xdr:row>
      <xdr:rowOff>0</xdr:rowOff>
    </xdr:to>
    <xdr:sp>
      <xdr:nvSpPr>
        <xdr:cNvPr id="76" name="Rectangle 93"/>
        <xdr:cNvSpPr>
          <a:spLocks/>
        </xdr:cNvSpPr>
      </xdr:nvSpPr>
      <xdr:spPr>
        <a:xfrm>
          <a:off x="342328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0</xdr:rowOff>
    </xdr:from>
    <xdr:to>
      <xdr:col>46</xdr:col>
      <xdr:colOff>0</xdr:colOff>
      <xdr:row>15</xdr:row>
      <xdr:rowOff>0</xdr:rowOff>
    </xdr:to>
    <xdr:sp>
      <xdr:nvSpPr>
        <xdr:cNvPr id="77" name="Rectangle 94"/>
        <xdr:cNvSpPr>
          <a:spLocks/>
        </xdr:cNvSpPr>
      </xdr:nvSpPr>
      <xdr:spPr>
        <a:xfrm>
          <a:off x="361759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0</xdr:rowOff>
    </xdr:from>
    <xdr:to>
      <xdr:col>49</xdr:col>
      <xdr:colOff>0</xdr:colOff>
      <xdr:row>15</xdr:row>
      <xdr:rowOff>0</xdr:rowOff>
    </xdr:to>
    <xdr:sp>
      <xdr:nvSpPr>
        <xdr:cNvPr id="78" name="Rectangle 95"/>
        <xdr:cNvSpPr>
          <a:spLocks/>
        </xdr:cNvSpPr>
      </xdr:nvSpPr>
      <xdr:spPr>
        <a:xfrm>
          <a:off x="371665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49</xdr:col>
      <xdr:colOff>0</xdr:colOff>
      <xdr:row>19</xdr:row>
      <xdr:rowOff>0</xdr:rowOff>
    </xdr:to>
    <xdr:sp>
      <xdr:nvSpPr>
        <xdr:cNvPr id="79" name="Rectangle 96"/>
        <xdr:cNvSpPr>
          <a:spLocks/>
        </xdr:cNvSpPr>
      </xdr:nvSpPr>
      <xdr:spPr>
        <a:xfrm>
          <a:off x="371665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21</xdr:row>
      <xdr:rowOff>0</xdr:rowOff>
    </xdr:from>
    <xdr:to>
      <xdr:col>49</xdr:col>
      <xdr:colOff>0</xdr:colOff>
      <xdr:row>24</xdr:row>
      <xdr:rowOff>0</xdr:rowOff>
    </xdr:to>
    <xdr:sp>
      <xdr:nvSpPr>
        <xdr:cNvPr id="80" name="Rectangle 97"/>
        <xdr:cNvSpPr>
          <a:spLocks/>
        </xdr:cNvSpPr>
      </xdr:nvSpPr>
      <xdr:spPr>
        <a:xfrm>
          <a:off x="371665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11</xdr:row>
      <xdr:rowOff>0</xdr:rowOff>
    </xdr:from>
    <xdr:to>
      <xdr:col>59</xdr:col>
      <xdr:colOff>0</xdr:colOff>
      <xdr:row>15</xdr:row>
      <xdr:rowOff>0</xdr:rowOff>
    </xdr:to>
    <xdr:sp>
      <xdr:nvSpPr>
        <xdr:cNvPr id="81" name="Rectangle 98"/>
        <xdr:cNvSpPr>
          <a:spLocks/>
        </xdr:cNvSpPr>
      </xdr:nvSpPr>
      <xdr:spPr>
        <a:xfrm>
          <a:off x="451294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55</xdr:col>
      <xdr:colOff>0</xdr:colOff>
      <xdr:row>24</xdr:row>
      <xdr:rowOff>0</xdr:rowOff>
    </xdr:to>
    <xdr:sp>
      <xdr:nvSpPr>
        <xdr:cNvPr id="82" name="Rectangle 99"/>
        <xdr:cNvSpPr>
          <a:spLocks/>
        </xdr:cNvSpPr>
      </xdr:nvSpPr>
      <xdr:spPr>
        <a:xfrm>
          <a:off x="415194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56</xdr:col>
      <xdr:colOff>0</xdr:colOff>
      <xdr:row>24</xdr:row>
      <xdr:rowOff>0</xdr:rowOff>
    </xdr:to>
    <xdr:sp>
      <xdr:nvSpPr>
        <xdr:cNvPr id="83" name="Rectangle 100"/>
        <xdr:cNvSpPr>
          <a:spLocks/>
        </xdr:cNvSpPr>
      </xdr:nvSpPr>
      <xdr:spPr>
        <a:xfrm>
          <a:off x="441388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52</xdr:col>
      <xdr:colOff>0</xdr:colOff>
      <xdr:row>24</xdr:row>
      <xdr:rowOff>0</xdr:rowOff>
    </xdr:to>
    <xdr:sp>
      <xdr:nvSpPr>
        <xdr:cNvPr id="84" name="Rectangle 101"/>
        <xdr:cNvSpPr>
          <a:spLocks/>
        </xdr:cNvSpPr>
      </xdr:nvSpPr>
      <xdr:spPr>
        <a:xfrm>
          <a:off x="415194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0</xdr:rowOff>
    </xdr:from>
    <xdr:to>
      <xdr:col>52</xdr:col>
      <xdr:colOff>0</xdr:colOff>
      <xdr:row>15</xdr:row>
      <xdr:rowOff>0</xdr:rowOff>
    </xdr:to>
    <xdr:sp>
      <xdr:nvSpPr>
        <xdr:cNvPr id="85" name="Rectangle 102"/>
        <xdr:cNvSpPr>
          <a:spLocks/>
        </xdr:cNvSpPr>
      </xdr:nvSpPr>
      <xdr:spPr>
        <a:xfrm>
          <a:off x="415194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16</xdr:row>
      <xdr:rowOff>0</xdr:rowOff>
    </xdr:from>
    <xdr:to>
      <xdr:col>52</xdr:col>
      <xdr:colOff>0</xdr:colOff>
      <xdr:row>19</xdr:row>
      <xdr:rowOff>0</xdr:rowOff>
    </xdr:to>
    <xdr:sp>
      <xdr:nvSpPr>
        <xdr:cNvPr id="86" name="Rectangle 103"/>
        <xdr:cNvSpPr>
          <a:spLocks/>
        </xdr:cNvSpPr>
      </xdr:nvSpPr>
      <xdr:spPr>
        <a:xfrm>
          <a:off x="415194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16</xdr:row>
      <xdr:rowOff>0</xdr:rowOff>
    </xdr:from>
    <xdr:to>
      <xdr:col>55</xdr:col>
      <xdr:colOff>0</xdr:colOff>
      <xdr:row>19</xdr:row>
      <xdr:rowOff>0</xdr:rowOff>
    </xdr:to>
    <xdr:sp>
      <xdr:nvSpPr>
        <xdr:cNvPr id="87" name="Rectangle 104"/>
        <xdr:cNvSpPr>
          <a:spLocks/>
        </xdr:cNvSpPr>
      </xdr:nvSpPr>
      <xdr:spPr>
        <a:xfrm>
          <a:off x="421957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55</xdr:col>
      <xdr:colOff>0</xdr:colOff>
      <xdr:row>15</xdr:row>
      <xdr:rowOff>0</xdr:rowOff>
    </xdr:to>
    <xdr:sp>
      <xdr:nvSpPr>
        <xdr:cNvPr id="88" name="Rectangle 105"/>
        <xdr:cNvSpPr>
          <a:spLocks/>
        </xdr:cNvSpPr>
      </xdr:nvSpPr>
      <xdr:spPr>
        <a:xfrm>
          <a:off x="421957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11</xdr:row>
      <xdr:rowOff>0</xdr:rowOff>
    </xdr:from>
    <xdr:to>
      <xdr:col>56</xdr:col>
      <xdr:colOff>0</xdr:colOff>
      <xdr:row>15</xdr:row>
      <xdr:rowOff>0</xdr:rowOff>
    </xdr:to>
    <xdr:sp>
      <xdr:nvSpPr>
        <xdr:cNvPr id="89" name="Rectangle 106"/>
        <xdr:cNvSpPr>
          <a:spLocks/>
        </xdr:cNvSpPr>
      </xdr:nvSpPr>
      <xdr:spPr>
        <a:xfrm>
          <a:off x="441388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16</xdr:row>
      <xdr:rowOff>0</xdr:rowOff>
    </xdr:from>
    <xdr:to>
      <xdr:col>56</xdr:col>
      <xdr:colOff>0</xdr:colOff>
      <xdr:row>19</xdr:row>
      <xdr:rowOff>0</xdr:rowOff>
    </xdr:to>
    <xdr:sp>
      <xdr:nvSpPr>
        <xdr:cNvPr id="90" name="Rectangle 107"/>
        <xdr:cNvSpPr>
          <a:spLocks/>
        </xdr:cNvSpPr>
      </xdr:nvSpPr>
      <xdr:spPr>
        <a:xfrm>
          <a:off x="441388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0</xdr:rowOff>
    </xdr:from>
    <xdr:to>
      <xdr:col>52</xdr:col>
      <xdr:colOff>0</xdr:colOff>
      <xdr:row>15</xdr:row>
      <xdr:rowOff>0</xdr:rowOff>
    </xdr:to>
    <xdr:sp>
      <xdr:nvSpPr>
        <xdr:cNvPr id="91" name="Rectangle 108"/>
        <xdr:cNvSpPr>
          <a:spLocks/>
        </xdr:cNvSpPr>
      </xdr:nvSpPr>
      <xdr:spPr>
        <a:xfrm>
          <a:off x="415194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10</xdr:row>
      <xdr:rowOff>0</xdr:rowOff>
    </xdr:from>
    <xdr:to>
      <xdr:col>55</xdr:col>
      <xdr:colOff>0</xdr:colOff>
      <xdr:row>15</xdr:row>
      <xdr:rowOff>0</xdr:rowOff>
    </xdr:to>
    <xdr:sp>
      <xdr:nvSpPr>
        <xdr:cNvPr id="92" name="Rectangle 109"/>
        <xdr:cNvSpPr>
          <a:spLocks/>
        </xdr:cNvSpPr>
      </xdr:nvSpPr>
      <xdr:spPr>
        <a:xfrm>
          <a:off x="421957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10</xdr:row>
      <xdr:rowOff>0</xdr:rowOff>
    </xdr:from>
    <xdr:to>
      <xdr:col>56</xdr:col>
      <xdr:colOff>0</xdr:colOff>
      <xdr:row>15</xdr:row>
      <xdr:rowOff>0</xdr:rowOff>
    </xdr:to>
    <xdr:sp>
      <xdr:nvSpPr>
        <xdr:cNvPr id="93" name="Rectangle 110"/>
        <xdr:cNvSpPr>
          <a:spLocks/>
        </xdr:cNvSpPr>
      </xdr:nvSpPr>
      <xdr:spPr>
        <a:xfrm>
          <a:off x="441388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10</xdr:row>
      <xdr:rowOff>0</xdr:rowOff>
    </xdr:from>
    <xdr:to>
      <xdr:col>59</xdr:col>
      <xdr:colOff>0</xdr:colOff>
      <xdr:row>15</xdr:row>
      <xdr:rowOff>0</xdr:rowOff>
    </xdr:to>
    <xdr:sp>
      <xdr:nvSpPr>
        <xdr:cNvPr id="94" name="Rectangle 111"/>
        <xdr:cNvSpPr>
          <a:spLocks/>
        </xdr:cNvSpPr>
      </xdr:nvSpPr>
      <xdr:spPr>
        <a:xfrm>
          <a:off x="451294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59</xdr:col>
      <xdr:colOff>0</xdr:colOff>
      <xdr:row>19</xdr:row>
      <xdr:rowOff>0</xdr:rowOff>
    </xdr:to>
    <xdr:sp>
      <xdr:nvSpPr>
        <xdr:cNvPr id="95" name="Rectangle 112"/>
        <xdr:cNvSpPr>
          <a:spLocks/>
        </xdr:cNvSpPr>
      </xdr:nvSpPr>
      <xdr:spPr>
        <a:xfrm>
          <a:off x="451294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21</xdr:row>
      <xdr:rowOff>0</xdr:rowOff>
    </xdr:from>
    <xdr:to>
      <xdr:col>59</xdr:col>
      <xdr:colOff>0</xdr:colOff>
      <xdr:row>24</xdr:row>
      <xdr:rowOff>0</xdr:rowOff>
    </xdr:to>
    <xdr:sp>
      <xdr:nvSpPr>
        <xdr:cNvPr id="96" name="Rectangle 113"/>
        <xdr:cNvSpPr>
          <a:spLocks/>
        </xdr:cNvSpPr>
      </xdr:nvSpPr>
      <xdr:spPr>
        <a:xfrm>
          <a:off x="451294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11</xdr:row>
      <xdr:rowOff>0</xdr:rowOff>
    </xdr:from>
    <xdr:to>
      <xdr:col>69</xdr:col>
      <xdr:colOff>0</xdr:colOff>
      <xdr:row>15</xdr:row>
      <xdr:rowOff>0</xdr:rowOff>
    </xdr:to>
    <xdr:sp>
      <xdr:nvSpPr>
        <xdr:cNvPr id="97" name="Rectangle 114"/>
        <xdr:cNvSpPr>
          <a:spLocks/>
        </xdr:cNvSpPr>
      </xdr:nvSpPr>
      <xdr:spPr>
        <a:xfrm>
          <a:off x="530923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21</xdr:row>
      <xdr:rowOff>0</xdr:rowOff>
    </xdr:from>
    <xdr:to>
      <xdr:col>65</xdr:col>
      <xdr:colOff>0</xdr:colOff>
      <xdr:row>24</xdr:row>
      <xdr:rowOff>0</xdr:rowOff>
    </xdr:to>
    <xdr:sp>
      <xdr:nvSpPr>
        <xdr:cNvPr id="98" name="Rectangle 115"/>
        <xdr:cNvSpPr>
          <a:spLocks/>
        </xdr:cNvSpPr>
      </xdr:nvSpPr>
      <xdr:spPr>
        <a:xfrm>
          <a:off x="494823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0</xdr:rowOff>
    </xdr:from>
    <xdr:to>
      <xdr:col>66</xdr:col>
      <xdr:colOff>0</xdr:colOff>
      <xdr:row>24</xdr:row>
      <xdr:rowOff>0</xdr:rowOff>
    </xdr:to>
    <xdr:sp>
      <xdr:nvSpPr>
        <xdr:cNvPr id="99" name="Rectangle 116"/>
        <xdr:cNvSpPr>
          <a:spLocks/>
        </xdr:cNvSpPr>
      </xdr:nvSpPr>
      <xdr:spPr>
        <a:xfrm>
          <a:off x="521017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21</xdr:row>
      <xdr:rowOff>0</xdr:rowOff>
    </xdr:from>
    <xdr:to>
      <xdr:col>62</xdr:col>
      <xdr:colOff>0</xdr:colOff>
      <xdr:row>24</xdr:row>
      <xdr:rowOff>0</xdr:rowOff>
    </xdr:to>
    <xdr:sp>
      <xdr:nvSpPr>
        <xdr:cNvPr id="100" name="Rectangle 117"/>
        <xdr:cNvSpPr>
          <a:spLocks/>
        </xdr:cNvSpPr>
      </xdr:nvSpPr>
      <xdr:spPr>
        <a:xfrm>
          <a:off x="494823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11</xdr:row>
      <xdr:rowOff>0</xdr:rowOff>
    </xdr:from>
    <xdr:to>
      <xdr:col>62</xdr:col>
      <xdr:colOff>0</xdr:colOff>
      <xdr:row>15</xdr:row>
      <xdr:rowOff>0</xdr:rowOff>
    </xdr:to>
    <xdr:sp>
      <xdr:nvSpPr>
        <xdr:cNvPr id="101" name="Rectangle 118"/>
        <xdr:cNvSpPr>
          <a:spLocks/>
        </xdr:cNvSpPr>
      </xdr:nvSpPr>
      <xdr:spPr>
        <a:xfrm>
          <a:off x="494823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16</xdr:row>
      <xdr:rowOff>0</xdr:rowOff>
    </xdr:from>
    <xdr:to>
      <xdr:col>62</xdr:col>
      <xdr:colOff>0</xdr:colOff>
      <xdr:row>19</xdr:row>
      <xdr:rowOff>0</xdr:rowOff>
    </xdr:to>
    <xdr:sp>
      <xdr:nvSpPr>
        <xdr:cNvPr id="102" name="Rectangle 119"/>
        <xdr:cNvSpPr>
          <a:spLocks/>
        </xdr:cNvSpPr>
      </xdr:nvSpPr>
      <xdr:spPr>
        <a:xfrm>
          <a:off x="494823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0</xdr:rowOff>
    </xdr:from>
    <xdr:to>
      <xdr:col>65</xdr:col>
      <xdr:colOff>0</xdr:colOff>
      <xdr:row>19</xdr:row>
      <xdr:rowOff>0</xdr:rowOff>
    </xdr:to>
    <xdr:sp>
      <xdr:nvSpPr>
        <xdr:cNvPr id="103" name="Rectangle 120"/>
        <xdr:cNvSpPr>
          <a:spLocks/>
        </xdr:cNvSpPr>
      </xdr:nvSpPr>
      <xdr:spPr>
        <a:xfrm>
          <a:off x="501586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0</xdr:rowOff>
    </xdr:from>
    <xdr:to>
      <xdr:col>65</xdr:col>
      <xdr:colOff>0</xdr:colOff>
      <xdr:row>15</xdr:row>
      <xdr:rowOff>0</xdr:rowOff>
    </xdr:to>
    <xdr:sp>
      <xdr:nvSpPr>
        <xdr:cNvPr id="104" name="Rectangle 121"/>
        <xdr:cNvSpPr>
          <a:spLocks/>
        </xdr:cNvSpPr>
      </xdr:nvSpPr>
      <xdr:spPr>
        <a:xfrm>
          <a:off x="501586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11</xdr:row>
      <xdr:rowOff>0</xdr:rowOff>
    </xdr:from>
    <xdr:to>
      <xdr:col>66</xdr:col>
      <xdr:colOff>0</xdr:colOff>
      <xdr:row>15</xdr:row>
      <xdr:rowOff>0</xdr:rowOff>
    </xdr:to>
    <xdr:sp>
      <xdr:nvSpPr>
        <xdr:cNvPr id="105" name="Rectangle 122"/>
        <xdr:cNvSpPr>
          <a:spLocks/>
        </xdr:cNvSpPr>
      </xdr:nvSpPr>
      <xdr:spPr>
        <a:xfrm>
          <a:off x="521017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16</xdr:row>
      <xdr:rowOff>0</xdr:rowOff>
    </xdr:from>
    <xdr:to>
      <xdr:col>66</xdr:col>
      <xdr:colOff>0</xdr:colOff>
      <xdr:row>19</xdr:row>
      <xdr:rowOff>0</xdr:rowOff>
    </xdr:to>
    <xdr:sp>
      <xdr:nvSpPr>
        <xdr:cNvPr id="106" name="Rectangle 123"/>
        <xdr:cNvSpPr>
          <a:spLocks/>
        </xdr:cNvSpPr>
      </xdr:nvSpPr>
      <xdr:spPr>
        <a:xfrm>
          <a:off x="521017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62</xdr:col>
      <xdr:colOff>0</xdr:colOff>
      <xdr:row>15</xdr:row>
      <xdr:rowOff>0</xdr:rowOff>
    </xdr:to>
    <xdr:sp>
      <xdr:nvSpPr>
        <xdr:cNvPr id="107" name="Rectangle 124"/>
        <xdr:cNvSpPr>
          <a:spLocks/>
        </xdr:cNvSpPr>
      </xdr:nvSpPr>
      <xdr:spPr>
        <a:xfrm>
          <a:off x="494823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65</xdr:col>
      <xdr:colOff>0</xdr:colOff>
      <xdr:row>15</xdr:row>
      <xdr:rowOff>0</xdr:rowOff>
    </xdr:to>
    <xdr:sp>
      <xdr:nvSpPr>
        <xdr:cNvPr id="108" name="Rectangle 125"/>
        <xdr:cNvSpPr>
          <a:spLocks/>
        </xdr:cNvSpPr>
      </xdr:nvSpPr>
      <xdr:spPr>
        <a:xfrm>
          <a:off x="501586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10</xdr:row>
      <xdr:rowOff>0</xdr:rowOff>
    </xdr:from>
    <xdr:to>
      <xdr:col>66</xdr:col>
      <xdr:colOff>0</xdr:colOff>
      <xdr:row>15</xdr:row>
      <xdr:rowOff>0</xdr:rowOff>
    </xdr:to>
    <xdr:sp>
      <xdr:nvSpPr>
        <xdr:cNvPr id="109" name="Rectangle 126"/>
        <xdr:cNvSpPr>
          <a:spLocks/>
        </xdr:cNvSpPr>
      </xdr:nvSpPr>
      <xdr:spPr>
        <a:xfrm>
          <a:off x="521017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10</xdr:row>
      <xdr:rowOff>0</xdr:rowOff>
    </xdr:from>
    <xdr:to>
      <xdr:col>69</xdr:col>
      <xdr:colOff>0</xdr:colOff>
      <xdr:row>15</xdr:row>
      <xdr:rowOff>0</xdr:rowOff>
    </xdr:to>
    <xdr:sp>
      <xdr:nvSpPr>
        <xdr:cNvPr id="110" name="Rectangle 127"/>
        <xdr:cNvSpPr>
          <a:spLocks/>
        </xdr:cNvSpPr>
      </xdr:nvSpPr>
      <xdr:spPr>
        <a:xfrm>
          <a:off x="530923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0</xdr:rowOff>
    </xdr:from>
    <xdr:to>
      <xdr:col>69</xdr:col>
      <xdr:colOff>0</xdr:colOff>
      <xdr:row>19</xdr:row>
      <xdr:rowOff>0</xdr:rowOff>
    </xdr:to>
    <xdr:sp>
      <xdr:nvSpPr>
        <xdr:cNvPr id="111" name="Rectangle 128"/>
        <xdr:cNvSpPr>
          <a:spLocks/>
        </xdr:cNvSpPr>
      </xdr:nvSpPr>
      <xdr:spPr>
        <a:xfrm>
          <a:off x="530923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69</xdr:col>
      <xdr:colOff>0</xdr:colOff>
      <xdr:row>24</xdr:row>
      <xdr:rowOff>0</xdr:rowOff>
    </xdr:to>
    <xdr:sp>
      <xdr:nvSpPr>
        <xdr:cNvPr id="112" name="Rectangle 129"/>
        <xdr:cNvSpPr>
          <a:spLocks/>
        </xdr:cNvSpPr>
      </xdr:nvSpPr>
      <xdr:spPr>
        <a:xfrm>
          <a:off x="530923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11</xdr:row>
      <xdr:rowOff>0</xdr:rowOff>
    </xdr:from>
    <xdr:to>
      <xdr:col>79</xdr:col>
      <xdr:colOff>0</xdr:colOff>
      <xdr:row>15</xdr:row>
      <xdr:rowOff>0</xdr:rowOff>
    </xdr:to>
    <xdr:sp>
      <xdr:nvSpPr>
        <xdr:cNvPr id="113" name="Rectangle 130"/>
        <xdr:cNvSpPr>
          <a:spLocks/>
        </xdr:cNvSpPr>
      </xdr:nvSpPr>
      <xdr:spPr>
        <a:xfrm>
          <a:off x="610552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75</xdr:col>
      <xdr:colOff>0</xdr:colOff>
      <xdr:row>24</xdr:row>
      <xdr:rowOff>0</xdr:rowOff>
    </xdr:to>
    <xdr:sp>
      <xdr:nvSpPr>
        <xdr:cNvPr id="114" name="Rectangle 131"/>
        <xdr:cNvSpPr>
          <a:spLocks/>
        </xdr:cNvSpPr>
      </xdr:nvSpPr>
      <xdr:spPr>
        <a:xfrm>
          <a:off x="574452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21</xdr:row>
      <xdr:rowOff>0</xdr:rowOff>
    </xdr:from>
    <xdr:to>
      <xdr:col>76</xdr:col>
      <xdr:colOff>0</xdr:colOff>
      <xdr:row>24</xdr:row>
      <xdr:rowOff>0</xdr:rowOff>
    </xdr:to>
    <xdr:sp>
      <xdr:nvSpPr>
        <xdr:cNvPr id="115" name="Rectangle 132"/>
        <xdr:cNvSpPr>
          <a:spLocks/>
        </xdr:cNvSpPr>
      </xdr:nvSpPr>
      <xdr:spPr>
        <a:xfrm>
          <a:off x="600646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72</xdr:col>
      <xdr:colOff>0</xdr:colOff>
      <xdr:row>24</xdr:row>
      <xdr:rowOff>0</xdr:rowOff>
    </xdr:to>
    <xdr:sp>
      <xdr:nvSpPr>
        <xdr:cNvPr id="116" name="Rectangle 133"/>
        <xdr:cNvSpPr>
          <a:spLocks/>
        </xdr:cNvSpPr>
      </xdr:nvSpPr>
      <xdr:spPr>
        <a:xfrm>
          <a:off x="574452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11</xdr:row>
      <xdr:rowOff>0</xdr:rowOff>
    </xdr:from>
    <xdr:to>
      <xdr:col>72</xdr:col>
      <xdr:colOff>0</xdr:colOff>
      <xdr:row>15</xdr:row>
      <xdr:rowOff>0</xdr:rowOff>
    </xdr:to>
    <xdr:sp>
      <xdr:nvSpPr>
        <xdr:cNvPr id="117" name="Rectangle 134"/>
        <xdr:cNvSpPr>
          <a:spLocks/>
        </xdr:cNvSpPr>
      </xdr:nvSpPr>
      <xdr:spPr>
        <a:xfrm>
          <a:off x="574452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16</xdr:row>
      <xdr:rowOff>0</xdr:rowOff>
    </xdr:from>
    <xdr:to>
      <xdr:col>72</xdr:col>
      <xdr:colOff>0</xdr:colOff>
      <xdr:row>19</xdr:row>
      <xdr:rowOff>0</xdr:rowOff>
    </xdr:to>
    <xdr:sp>
      <xdr:nvSpPr>
        <xdr:cNvPr id="118" name="Rectangle 135"/>
        <xdr:cNvSpPr>
          <a:spLocks/>
        </xdr:cNvSpPr>
      </xdr:nvSpPr>
      <xdr:spPr>
        <a:xfrm>
          <a:off x="574452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16</xdr:row>
      <xdr:rowOff>0</xdr:rowOff>
    </xdr:from>
    <xdr:to>
      <xdr:col>75</xdr:col>
      <xdr:colOff>0</xdr:colOff>
      <xdr:row>19</xdr:row>
      <xdr:rowOff>0</xdr:rowOff>
    </xdr:to>
    <xdr:sp>
      <xdr:nvSpPr>
        <xdr:cNvPr id="119" name="Rectangle 136"/>
        <xdr:cNvSpPr>
          <a:spLocks/>
        </xdr:cNvSpPr>
      </xdr:nvSpPr>
      <xdr:spPr>
        <a:xfrm>
          <a:off x="581215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11</xdr:row>
      <xdr:rowOff>0</xdr:rowOff>
    </xdr:from>
    <xdr:to>
      <xdr:col>75</xdr:col>
      <xdr:colOff>0</xdr:colOff>
      <xdr:row>15</xdr:row>
      <xdr:rowOff>0</xdr:rowOff>
    </xdr:to>
    <xdr:sp>
      <xdr:nvSpPr>
        <xdr:cNvPr id="120" name="Rectangle 137"/>
        <xdr:cNvSpPr>
          <a:spLocks/>
        </xdr:cNvSpPr>
      </xdr:nvSpPr>
      <xdr:spPr>
        <a:xfrm>
          <a:off x="581215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11</xdr:row>
      <xdr:rowOff>0</xdr:rowOff>
    </xdr:from>
    <xdr:to>
      <xdr:col>76</xdr:col>
      <xdr:colOff>0</xdr:colOff>
      <xdr:row>15</xdr:row>
      <xdr:rowOff>0</xdr:rowOff>
    </xdr:to>
    <xdr:sp>
      <xdr:nvSpPr>
        <xdr:cNvPr id="121" name="Rectangle 138"/>
        <xdr:cNvSpPr>
          <a:spLocks/>
        </xdr:cNvSpPr>
      </xdr:nvSpPr>
      <xdr:spPr>
        <a:xfrm>
          <a:off x="600646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16</xdr:row>
      <xdr:rowOff>0</xdr:rowOff>
    </xdr:from>
    <xdr:to>
      <xdr:col>76</xdr:col>
      <xdr:colOff>0</xdr:colOff>
      <xdr:row>19</xdr:row>
      <xdr:rowOff>0</xdr:rowOff>
    </xdr:to>
    <xdr:sp>
      <xdr:nvSpPr>
        <xdr:cNvPr id="122" name="Rectangle 139"/>
        <xdr:cNvSpPr>
          <a:spLocks/>
        </xdr:cNvSpPr>
      </xdr:nvSpPr>
      <xdr:spPr>
        <a:xfrm>
          <a:off x="600646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10</xdr:row>
      <xdr:rowOff>0</xdr:rowOff>
    </xdr:from>
    <xdr:to>
      <xdr:col>72</xdr:col>
      <xdr:colOff>0</xdr:colOff>
      <xdr:row>15</xdr:row>
      <xdr:rowOff>0</xdr:rowOff>
    </xdr:to>
    <xdr:sp>
      <xdr:nvSpPr>
        <xdr:cNvPr id="123" name="Rectangle 140"/>
        <xdr:cNvSpPr>
          <a:spLocks/>
        </xdr:cNvSpPr>
      </xdr:nvSpPr>
      <xdr:spPr>
        <a:xfrm>
          <a:off x="574452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10</xdr:row>
      <xdr:rowOff>0</xdr:rowOff>
    </xdr:from>
    <xdr:to>
      <xdr:col>75</xdr:col>
      <xdr:colOff>0</xdr:colOff>
      <xdr:row>15</xdr:row>
      <xdr:rowOff>0</xdr:rowOff>
    </xdr:to>
    <xdr:sp>
      <xdr:nvSpPr>
        <xdr:cNvPr id="124" name="Rectangle 141"/>
        <xdr:cNvSpPr>
          <a:spLocks/>
        </xdr:cNvSpPr>
      </xdr:nvSpPr>
      <xdr:spPr>
        <a:xfrm>
          <a:off x="581215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10</xdr:row>
      <xdr:rowOff>0</xdr:rowOff>
    </xdr:from>
    <xdr:to>
      <xdr:col>76</xdr:col>
      <xdr:colOff>0</xdr:colOff>
      <xdr:row>15</xdr:row>
      <xdr:rowOff>0</xdr:rowOff>
    </xdr:to>
    <xdr:sp>
      <xdr:nvSpPr>
        <xdr:cNvPr id="125" name="Rectangle 142"/>
        <xdr:cNvSpPr>
          <a:spLocks/>
        </xdr:cNvSpPr>
      </xdr:nvSpPr>
      <xdr:spPr>
        <a:xfrm>
          <a:off x="600646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10</xdr:row>
      <xdr:rowOff>0</xdr:rowOff>
    </xdr:from>
    <xdr:to>
      <xdr:col>79</xdr:col>
      <xdr:colOff>0</xdr:colOff>
      <xdr:row>15</xdr:row>
      <xdr:rowOff>0</xdr:rowOff>
    </xdr:to>
    <xdr:sp>
      <xdr:nvSpPr>
        <xdr:cNvPr id="126" name="Rectangle 143"/>
        <xdr:cNvSpPr>
          <a:spLocks/>
        </xdr:cNvSpPr>
      </xdr:nvSpPr>
      <xdr:spPr>
        <a:xfrm>
          <a:off x="610552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16</xdr:row>
      <xdr:rowOff>0</xdr:rowOff>
    </xdr:from>
    <xdr:to>
      <xdr:col>79</xdr:col>
      <xdr:colOff>0</xdr:colOff>
      <xdr:row>19</xdr:row>
      <xdr:rowOff>0</xdr:rowOff>
    </xdr:to>
    <xdr:sp>
      <xdr:nvSpPr>
        <xdr:cNvPr id="127" name="Rectangle 144"/>
        <xdr:cNvSpPr>
          <a:spLocks/>
        </xdr:cNvSpPr>
      </xdr:nvSpPr>
      <xdr:spPr>
        <a:xfrm>
          <a:off x="610552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21</xdr:row>
      <xdr:rowOff>0</xdr:rowOff>
    </xdr:from>
    <xdr:to>
      <xdr:col>79</xdr:col>
      <xdr:colOff>0</xdr:colOff>
      <xdr:row>24</xdr:row>
      <xdr:rowOff>0</xdr:rowOff>
    </xdr:to>
    <xdr:sp>
      <xdr:nvSpPr>
        <xdr:cNvPr id="128" name="Rectangle 145"/>
        <xdr:cNvSpPr>
          <a:spLocks/>
        </xdr:cNvSpPr>
      </xdr:nvSpPr>
      <xdr:spPr>
        <a:xfrm>
          <a:off x="610552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11</xdr:row>
      <xdr:rowOff>0</xdr:rowOff>
    </xdr:from>
    <xdr:to>
      <xdr:col>89</xdr:col>
      <xdr:colOff>0</xdr:colOff>
      <xdr:row>15</xdr:row>
      <xdr:rowOff>0</xdr:rowOff>
    </xdr:to>
    <xdr:sp>
      <xdr:nvSpPr>
        <xdr:cNvPr id="129" name="Rectangle 146"/>
        <xdr:cNvSpPr>
          <a:spLocks/>
        </xdr:cNvSpPr>
      </xdr:nvSpPr>
      <xdr:spPr>
        <a:xfrm>
          <a:off x="690181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21</xdr:row>
      <xdr:rowOff>0</xdr:rowOff>
    </xdr:from>
    <xdr:to>
      <xdr:col>85</xdr:col>
      <xdr:colOff>0</xdr:colOff>
      <xdr:row>24</xdr:row>
      <xdr:rowOff>0</xdr:rowOff>
    </xdr:to>
    <xdr:sp>
      <xdr:nvSpPr>
        <xdr:cNvPr id="130" name="Rectangle 147"/>
        <xdr:cNvSpPr>
          <a:spLocks/>
        </xdr:cNvSpPr>
      </xdr:nvSpPr>
      <xdr:spPr>
        <a:xfrm>
          <a:off x="654081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86</xdr:col>
      <xdr:colOff>0</xdr:colOff>
      <xdr:row>24</xdr:row>
      <xdr:rowOff>0</xdr:rowOff>
    </xdr:to>
    <xdr:sp>
      <xdr:nvSpPr>
        <xdr:cNvPr id="131" name="Rectangle 148"/>
        <xdr:cNvSpPr>
          <a:spLocks/>
        </xdr:cNvSpPr>
      </xdr:nvSpPr>
      <xdr:spPr>
        <a:xfrm>
          <a:off x="680275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21</xdr:row>
      <xdr:rowOff>0</xdr:rowOff>
    </xdr:from>
    <xdr:to>
      <xdr:col>82</xdr:col>
      <xdr:colOff>0</xdr:colOff>
      <xdr:row>24</xdr:row>
      <xdr:rowOff>0</xdr:rowOff>
    </xdr:to>
    <xdr:sp>
      <xdr:nvSpPr>
        <xdr:cNvPr id="132" name="Rectangle 149"/>
        <xdr:cNvSpPr>
          <a:spLocks/>
        </xdr:cNvSpPr>
      </xdr:nvSpPr>
      <xdr:spPr>
        <a:xfrm>
          <a:off x="654081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11</xdr:row>
      <xdr:rowOff>0</xdr:rowOff>
    </xdr:from>
    <xdr:to>
      <xdr:col>82</xdr:col>
      <xdr:colOff>0</xdr:colOff>
      <xdr:row>15</xdr:row>
      <xdr:rowOff>0</xdr:rowOff>
    </xdr:to>
    <xdr:sp>
      <xdr:nvSpPr>
        <xdr:cNvPr id="133" name="Rectangle 150"/>
        <xdr:cNvSpPr>
          <a:spLocks/>
        </xdr:cNvSpPr>
      </xdr:nvSpPr>
      <xdr:spPr>
        <a:xfrm>
          <a:off x="654081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16</xdr:row>
      <xdr:rowOff>0</xdr:rowOff>
    </xdr:from>
    <xdr:to>
      <xdr:col>82</xdr:col>
      <xdr:colOff>0</xdr:colOff>
      <xdr:row>19</xdr:row>
      <xdr:rowOff>0</xdr:rowOff>
    </xdr:to>
    <xdr:sp>
      <xdr:nvSpPr>
        <xdr:cNvPr id="134" name="Rectangle 151"/>
        <xdr:cNvSpPr>
          <a:spLocks/>
        </xdr:cNvSpPr>
      </xdr:nvSpPr>
      <xdr:spPr>
        <a:xfrm>
          <a:off x="654081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16</xdr:row>
      <xdr:rowOff>0</xdr:rowOff>
    </xdr:from>
    <xdr:to>
      <xdr:col>85</xdr:col>
      <xdr:colOff>0</xdr:colOff>
      <xdr:row>19</xdr:row>
      <xdr:rowOff>0</xdr:rowOff>
    </xdr:to>
    <xdr:sp>
      <xdr:nvSpPr>
        <xdr:cNvPr id="135" name="Rectangle 152"/>
        <xdr:cNvSpPr>
          <a:spLocks/>
        </xdr:cNvSpPr>
      </xdr:nvSpPr>
      <xdr:spPr>
        <a:xfrm>
          <a:off x="660844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85</xdr:col>
      <xdr:colOff>0</xdr:colOff>
      <xdr:row>15</xdr:row>
      <xdr:rowOff>0</xdr:rowOff>
    </xdr:to>
    <xdr:sp>
      <xdr:nvSpPr>
        <xdr:cNvPr id="136" name="Rectangle 153"/>
        <xdr:cNvSpPr>
          <a:spLocks/>
        </xdr:cNvSpPr>
      </xdr:nvSpPr>
      <xdr:spPr>
        <a:xfrm>
          <a:off x="660844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11</xdr:row>
      <xdr:rowOff>0</xdr:rowOff>
    </xdr:from>
    <xdr:to>
      <xdr:col>86</xdr:col>
      <xdr:colOff>0</xdr:colOff>
      <xdr:row>15</xdr:row>
      <xdr:rowOff>0</xdr:rowOff>
    </xdr:to>
    <xdr:sp>
      <xdr:nvSpPr>
        <xdr:cNvPr id="137" name="Rectangle 154"/>
        <xdr:cNvSpPr>
          <a:spLocks/>
        </xdr:cNvSpPr>
      </xdr:nvSpPr>
      <xdr:spPr>
        <a:xfrm>
          <a:off x="680275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16</xdr:row>
      <xdr:rowOff>0</xdr:rowOff>
    </xdr:from>
    <xdr:to>
      <xdr:col>86</xdr:col>
      <xdr:colOff>0</xdr:colOff>
      <xdr:row>19</xdr:row>
      <xdr:rowOff>0</xdr:rowOff>
    </xdr:to>
    <xdr:sp>
      <xdr:nvSpPr>
        <xdr:cNvPr id="138" name="Rectangle 155"/>
        <xdr:cNvSpPr>
          <a:spLocks/>
        </xdr:cNvSpPr>
      </xdr:nvSpPr>
      <xdr:spPr>
        <a:xfrm>
          <a:off x="680275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10</xdr:row>
      <xdr:rowOff>0</xdr:rowOff>
    </xdr:from>
    <xdr:to>
      <xdr:col>82</xdr:col>
      <xdr:colOff>0</xdr:colOff>
      <xdr:row>15</xdr:row>
      <xdr:rowOff>0</xdr:rowOff>
    </xdr:to>
    <xdr:sp>
      <xdr:nvSpPr>
        <xdr:cNvPr id="139" name="Rectangle 156"/>
        <xdr:cNvSpPr>
          <a:spLocks/>
        </xdr:cNvSpPr>
      </xdr:nvSpPr>
      <xdr:spPr>
        <a:xfrm>
          <a:off x="654081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10</xdr:row>
      <xdr:rowOff>0</xdr:rowOff>
    </xdr:from>
    <xdr:to>
      <xdr:col>85</xdr:col>
      <xdr:colOff>0</xdr:colOff>
      <xdr:row>15</xdr:row>
      <xdr:rowOff>0</xdr:rowOff>
    </xdr:to>
    <xdr:sp>
      <xdr:nvSpPr>
        <xdr:cNvPr id="140" name="Rectangle 157"/>
        <xdr:cNvSpPr>
          <a:spLocks/>
        </xdr:cNvSpPr>
      </xdr:nvSpPr>
      <xdr:spPr>
        <a:xfrm>
          <a:off x="660844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10</xdr:row>
      <xdr:rowOff>0</xdr:rowOff>
    </xdr:from>
    <xdr:to>
      <xdr:col>86</xdr:col>
      <xdr:colOff>0</xdr:colOff>
      <xdr:row>15</xdr:row>
      <xdr:rowOff>0</xdr:rowOff>
    </xdr:to>
    <xdr:sp>
      <xdr:nvSpPr>
        <xdr:cNvPr id="141" name="Rectangle 158"/>
        <xdr:cNvSpPr>
          <a:spLocks/>
        </xdr:cNvSpPr>
      </xdr:nvSpPr>
      <xdr:spPr>
        <a:xfrm>
          <a:off x="680275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10</xdr:row>
      <xdr:rowOff>0</xdr:rowOff>
    </xdr:from>
    <xdr:to>
      <xdr:col>89</xdr:col>
      <xdr:colOff>0</xdr:colOff>
      <xdr:row>15</xdr:row>
      <xdr:rowOff>0</xdr:rowOff>
    </xdr:to>
    <xdr:sp>
      <xdr:nvSpPr>
        <xdr:cNvPr id="142" name="Rectangle 159"/>
        <xdr:cNvSpPr>
          <a:spLocks/>
        </xdr:cNvSpPr>
      </xdr:nvSpPr>
      <xdr:spPr>
        <a:xfrm>
          <a:off x="690181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89</xdr:col>
      <xdr:colOff>0</xdr:colOff>
      <xdr:row>19</xdr:row>
      <xdr:rowOff>0</xdr:rowOff>
    </xdr:to>
    <xdr:sp>
      <xdr:nvSpPr>
        <xdr:cNvPr id="143" name="Rectangle 160"/>
        <xdr:cNvSpPr>
          <a:spLocks/>
        </xdr:cNvSpPr>
      </xdr:nvSpPr>
      <xdr:spPr>
        <a:xfrm>
          <a:off x="690181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89</xdr:col>
      <xdr:colOff>0</xdr:colOff>
      <xdr:row>24</xdr:row>
      <xdr:rowOff>0</xdr:rowOff>
    </xdr:to>
    <xdr:sp>
      <xdr:nvSpPr>
        <xdr:cNvPr id="144" name="Rectangle 161"/>
        <xdr:cNvSpPr>
          <a:spLocks/>
        </xdr:cNvSpPr>
      </xdr:nvSpPr>
      <xdr:spPr>
        <a:xfrm>
          <a:off x="690181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11</xdr:row>
      <xdr:rowOff>0</xdr:rowOff>
    </xdr:from>
    <xdr:to>
      <xdr:col>99</xdr:col>
      <xdr:colOff>0</xdr:colOff>
      <xdr:row>15</xdr:row>
      <xdr:rowOff>0</xdr:rowOff>
    </xdr:to>
    <xdr:sp>
      <xdr:nvSpPr>
        <xdr:cNvPr id="145" name="Rectangle 162"/>
        <xdr:cNvSpPr>
          <a:spLocks/>
        </xdr:cNvSpPr>
      </xdr:nvSpPr>
      <xdr:spPr>
        <a:xfrm>
          <a:off x="769810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21</xdr:row>
      <xdr:rowOff>0</xdr:rowOff>
    </xdr:from>
    <xdr:to>
      <xdr:col>95</xdr:col>
      <xdr:colOff>0</xdr:colOff>
      <xdr:row>24</xdr:row>
      <xdr:rowOff>0</xdr:rowOff>
    </xdr:to>
    <xdr:sp>
      <xdr:nvSpPr>
        <xdr:cNvPr id="146" name="Rectangle 163"/>
        <xdr:cNvSpPr>
          <a:spLocks/>
        </xdr:cNvSpPr>
      </xdr:nvSpPr>
      <xdr:spPr>
        <a:xfrm>
          <a:off x="733710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21</xdr:row>
      <xdr:rowOff>0</xdr:rowOff>
    </xdr:from>
    <xdr:to>
      <xdr:col>96</xdr:col>
      <xdr:colOff>0</xdr:colOff>
      <xdr:row>24</xdr:row>
      <xdr:rowOff>0</xdr:rowOff>
    </xdr:to>
    <xdr:sp>
      <xdr:nvSpPr>
        <xdr:cNvPr id="147" name="Rectangle 164"/>
        <xdr:cNvSpPr>
          <a:spLocks/>
        </xdr:cNvSpPr>
      </xdr:nvSpPr>
      <xdr:spPr>
        <a:xfrm>
          <a:off x="759904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21</xdr:row>
      <xdr:rowOff>0</xdr:rowOff>
    </xdr:from>
    <xdr:to>
      <xdr:col>92</xdr:col>
      <xdr:colOff>0</xdr:colOff>
      <xdr:row>24</xdr:row>
      <xdr:rowOff>0</xdr:rowOff>
    </xdr:to>
    <xdr:sp>
      <xdr:nvSpPr>
        <xdr:cNvPr id="148" name="Rectangle 165"/>
        <xdr:cNvSpPr>
          <a:spLocks/>
        </xdr:cNvSpPr>
      </xdr:nvSpPr>
      <xdr:spPr>
        <a:xfrm>
          <a:off x="733710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11</xdr:row>
      <xdr:rowOff>0</xdr:rowOff>
    </xdr:from>
    <xdr:to>
      <xdr:col>92</xdr:col>
      <xdr:colOff>0</xdr:colOff>
      <xdr:row>15</xdr:row>
      <xdr:rowOff>0</xdr:rowOff>
    </xdr:to>
    <xdr:sp>
      <xdr:nvSpPr>
        <xdr:cNvPr id="149" name="Rectangle 166"/>
        <xdr:cNvSpPr>
          <a:spLocks/>
        </xdr:cNvSpPr>
      </xdr:nvSpPr>
      <xdr:spPr>
        <a:xfrm>
          <a:off x="733710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16</xdr:row>
      <xdr:rowOff>0</xdr:rowOff>
    </xdr:from>
    <xdr:to>
      <xdr:col>92</xdr:col>
      <xdr:colOff>0</xdr:colOff>
      <xdr:row>19</xdr:row>
      <xdr:rowOff>0</xdr:rowOff>
    </xdr:to>
    <xdr:sp>
      <xdr:nvSpPr>
        <xdr:cNvPr id="150" name="Rectangle 167"/>
        <xdr:cNvSpPr>
          <a:spLocks/>
        </xdr:cNvSpPr>
      </xdr:nvSpPr>
      <xdr:spPr>
        <a:xfrm>
          <a:off x="733710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16</xdr:row>
      <xdr:rowOff>0</xdr:rowOff>
    </xdr:from>
    <xdr:to>
      <xdr:col>95</xdr:col>
      <xdr:colOff>0</xdr:colOff>
      <xdr:row>19</xdr:row>
      <xdr:rowOff>0</xdr:rowOff>
    </xdr:to>
    <xdr:sp>
      <xdr:nvSpPr>
        <xdr:cNvPr id="151" name="Rectangle 168"/>
        <xdr:cNvSpPr>
          <a:spLocks/>
        </xdr:cNvSpPr>
      </xdr:nvSpPr>
      <xdr:spPr>
        <a:xfrm>
          <a:off x="740473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11</xdr:row>
      <xdr:rowOff>0</xdr:rowOff>
    </xdr:from>
    <xdr:to>
      <xdr:col>95</xdr:col>
      <xdr:colOff>0</xdr:colOff>
      <xdr:row>15</xdr:row>
      <xdr:rowOff>0</xdr:rowOff>
    </xdr:to>
    <xdr:sp>
      <xdr:nvSpPr>
        <xdr:cNvPr id="152" name="Rectangle 169"/>
        <xdr:cNvSpPr>
          <a:spLocks/>
        </xdr:cNvSpPr>
      </xdr:nvSpPr>
      <xdr:spPr>
        <a:xfrm>
          <a:off x="740473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11</xdr:row>
      <xdr:rowOff>0</xdr:rowOff>
    </xdr:from>
    <xdr:to>
      <xdr:col>96</xdr:col>
      <xdr:colOff>0</xdr:colOff>
      <xdr:row>15</xdr:row>
      <xdr:rowOff>0</xdr:rowOff>
    </xdr:to>
    <xdr:sp>
      <xdr:nvSpPr>
        <xdr:cNvPr id="153" name="Rectangle 170"/>
        <xdr:cNvSpPr>
          <a:spLocks/>
        </xdr:cNvSpPr>
      </xdr:nvSpPr>
      <xdr:spPr>
        <a:xfrm>
          <a:off x="759904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16</xdr:row>
      <xdr:rowOff>0</xdr:rowOff>
    </xdr:from>
    <xdr:to>
      <xdr:col>96</xdr:col>
      <xdr:colOff>0</xdr:colOff>
      <xdr:row>19</xdr:row>
      <xdr:rowOff>0</xdr:rowOff>
    </xdr:to>
    <xdr:sp>
      <xdr:nvSpPr>
        <xdr:cNvPr id="154" name="Rectangle 171"/>
        <xdr:cNvSpPr>
          <a:spLocks/>
        </xdr:cNvSpPr>
      </xdr:nvSpPr>
      <xdr:spPr>
        <a:xfrm>
          <a:off x="759904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10</xdr:row>
      <xdr:rowOff>0</xdr:rowOff>
    </xdr:from>
    <xdr:to>
      <xdr:col>92</xdr:col>
      <xdr:colOff>0</xdr:colOff>
      <xdr:row>15</xdr:row>
      <xdr:rowOff>0</xdr:rowOff>
    </xdr:to>
    <xdr:sp>
      <xdr:nvSpPr>
        <xdr:cNvPr id="155" name="Rectangle 172"/>
        <xdr:cNvSpPr>
          <a:spLocks/>
        </xdr:cNvSpPr>
      </xdr:nvSpPr>
      <xdr:spPr>
        <a:xfrm>
          <a:off x="733710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10</xdr:row>
      <xdr:rowOff>0</xdr:rowOff>
    </xdr:from>
    <xdr:to>
      <xdr:col>95</xdr:col>
      <xdr:colOff>0</xdr:colOff>
      <xdr:row>15</xdr:row>
      <xdr:rowOff>0</xdr:rowOff>
    </xdr:to>
    <xdr:sp>
      <xdr:nvSpPr>
        <xdr:cNvPr id="156" name="Rectangle 173"/>
        <xdr:cNvSpPr>
          <a:spLocks/>
        </xdr:cNvSpPr>
      </xdr:nvSpPr>
      <xdr:spPr>
        <a:xfrm>
          <a:off x="740473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10</xdr:row>
      <xdr:rowOff>0</xdr:rowOff>
    </xdr:from>
    <xdr:to>
      <xdr:col>96</xdr:col>
      <xdr:colOff>0</xdr:colOff>
      <xdr:row>15</xdr:row>
      <xdr:rowOff>0</xdr:rowOff>
    </xdr:to>
    <xdr:sp>
      <xdr:nvSpPr>
        <xdr:cNvPr id="157" name="Rectangle 174"/>
        <xdr:cNvSpPr>
          <a:spLocks/>
        </xdr:cNvSpPr>
      </xdr:nvSpPr>
      <xdr:spPr>
        <a:xfrm>
          <a:off x="759904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10</xdr:row>
      <xdr:rowOff>0</xdr:rowOff>
    </xdr:from>
    <xdr:to>
      <xdr:col>99</xdr:col>
      <xdr:colOff>0</xdr:colOff>
      <xdr:row>15</xdr:row>
      <xdr:rowOff>0</xdr:rowOff>
    </xdr:to>
    <xdr:sp>
      <xdr:nvSpPr>
        <xdr:cNvPr id="158" name="Rectangle 175"/>
        <xdr:cNvSpPr>
          <a:spLocks/>
        </xdr:cNvSpPr>
      </xdr:nvSpPr>
      <xdr:spPr>
        <a:xfrm>
          <a:off x="769810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16</xdr:row>
      <xdr:rowOff>0</xdr:rowOff>
    </xdr:from>
    <xdr:to>
      <xdr:col>99</xdr:col>
      <xdr:colOff>0</xdr:colOff>
      <xdr:row>19</xdr:row>
      <xdr:rowOff>0</xdr:rowOff>
    </xdr:to>
    <xdr:sp>
      <xdr:nvSpPr>
        <xdr:cNvPr id="159" name="Rectangle 176"/>
        <xdr:cNvSpPr>
          <a:spLocks/>
        </xdr:cNvSpPr>
      </xdr:nvSpPr>
      <xdr:spPr>
        <a:xfrm>
          <a:off x="769810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21</xdr:row>
      <xdr:rowOff>0</xdr:rowOff>
    </xdr:from>
    <xdr:to>
      <xdr:col>99</xdr:col>
      <xdr:colOff>0</xdr:colOff>
      <xdr:row>24</xdr:row>
      <xdr:rowOff>0</xdr:rowOff>
    </xdr:to>
    <xdr:sp>
      <xdr:nvSpPr>
        <xdr:cNvPr id="160" name="Rectangle 177"/>
        <xdr:cNvSpPr>
          <a:spLocks/>
        </xdr:cNvSpPr>
      </xdr:nvSpPr>
      <xdr:spPr>
        <a:xfrm>
          <a:off x="769810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11</xdr:row>
      <xdr:rowOff>0</xdr:rowOff>
    </xdr:from>
    <xdr:to>
      <xdr:col>109</xdr:col>
      <xdr:colOff>0</xdr:colOff>
      <xdr:row>15</xdr:row>
      <xdr:rowOff>0</xdr:rowOff>
    </xdr:to>
    <xdr:sp>
      <xdr:nvSpPr>
        <xdr:cNvPr id="161" name="Rectangle 178"/>
        <xdr:cNvSpPr>
          <a:spLocks/>
        </xdr:cNvSpPr>
      </xdr:nvSpPr>
      <xdr:spPr>
        <a:xfrm>
          <a:off x="849439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21</xdr:row>
      <xdr:rowOff>0</xdr:rowOff>
    </xdr:from>
    <xdr:to>
      <xdr:col>105</xdr:col>
      <xdr:colOff>0</xdr:colOff>
      <xdr:row>24</xdr:row>
      <xdr:rowOff>0</xdr:rowOff>
    </xdr:to>
    <xdr:sp>
      <xdr:nvSpPr>
        <xdr:cNvPr id="162" name="Rectangle 179"/>
        <xdr:cNvSpPr>
          <a:spLocks/>
        </xdr:cNvSpPr>
      </xdr:nvSpPr>
      <xdr:spPr>
        <a:xfrm>
          <a:off x="813339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21</xdr:row>
      <xdr:rowOff>0</xdr:rowOff>
    </xdr:from>
    <xdr:to>
      <xdr:col>106</xdr:col>
      <xdr:colOff>0</xdr:colOff>
      <xdr:row>24</xdr:row>
      <xdr:rowOff>0</xdr:rowOff>
    </xdr:to>
    <xdr:sp>
      <xdr:nvSpPr>
        <xdr:cNvPr id="163" name="Rectangle 180"/>
        <xdr:cNvSpPr>
          <a:spLocks/>
        </xdr:cNvSpPr>
      </xdr:nvSpPr>
      <xdr:spPr>
        <a:xfrm>
          <a:off x="839533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21</xdr:row>
      <xdr:rowOff>0</xdr:rowOff>
    </xdr:from>
    <xdr:to>
      <xdr:col>102</xdr:col>
      <xdr:colOff>0</xdr:colOff>
      <xdr:row>24</xdr:row>
      <xdr:rowOff>0</xdr:rowOff>
    </xdr:to>
    <xdr:sp>
      <xdr:nvSpPr>
        <xdr:cNvPr id="164" name="Rectangle 181"/>
        <xdr:cNvSpPr>
          <a:spLocks/>
        </xdr:cNvSpPr>
      </xdr:nvSpPr>
      <xdr:spPr>
        <a:xfrm>
          <a:off x="813339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11</xdr:row>
      <xdr:rowOff>0</xdr:rowOff>
    </xdr:from>
    <xdr:to>
      <xdr:col>102</xdr:col>
      <xdr:colOff>0</xdr:colOff>
      <xdr:row>15</xdr:row>
      <xdr:rowOff>0</xdr:rowOff>
    </xdr:to>
    <xdr:sp>
      <xdr:nvSpPr>
        <xdr:cNvPr id="165" name="Rectangle 182"/>
        <xdr:cNvSpPr>
          <a:spLocks/>
        </xdr:cNvSpPr>
      </xdr:nvSpPr>
      <xdr:spPr>
        <a:xfrm>
          <a:off x="813339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16</xdr:row>
      <xdr:rowOff>0</xdr:rowOff>
    </xdr:from>
    <xdr:to>
      <xdr:col>102</xdr:col>
      <xdr:colOff>0</xdr:colOff>
      <xdr:row>19</xdr:row>
      <xdr:rowOff>0</xdr:rowOff>
    </xdr:to>
    <xdr:sp>
      <xdr:nvSpPr>
        <xdr:cNvPr id="166" name="Rectangle 183"/>
        <xdr:cNvSpPr>
          <a:spLocks/>
        </xdr:cNvSpPr>
      </xdr:nvSpPr>
      <xdr:spPr>
        <a:xfrm>
          <a:off x="813339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16</xdr:row>
      <xdr:rowOff>0</xdr:rowOff>
    </xdr:from>
    <xdr:to>
      <xdr:col>105</xdr:col>
      <xdr:colOff>0</xdr:colOff>
      <xdr:row>19</xdr:row>
      <xdr:rowOff>0</xdr:rowOff>
    </xdr:to>
    <xdr:sp>
      <xdr:nvSpPr>
        <xdr:cNvPr id="167" name="Rectangle 184"/>
        <xdr:cNvSpPr>
          <a:spLocks/>
        </xdr:cNvSpPr>
      </xdr:nvSpPr>
      <xdr:spPr>
        <a:xfrm>
          <a:off x="820102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11</xdr:row>
      <xdr:rowOff>0</xdr:rowOff>
    </xdr:from>
    <xdr:to>
      <xdr:col>105</xdr:col>
      <xdr:colOff>0</xdr:colOff>
      <xdr:row>15</xdr:row>
      <xdr:rowOff>0</xdr:rowOff>
    </xdr:to>
    <xdr:sp>
      <xdr:nvSpPr>
        <xdr:cNvPr id="168" name="Rectangle 185"/>
        <xdr:cNvSpPr>
          <a:spLocks/>
        </xdr:cNvSpPr>
      </xdr:nvSpPr>
      <xdr:spPr>
        <a:xfrm>
          <a:off x="820102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11</xdr:row>
      <xdr:rowOff>0</xdr:rowOff>
    </xdr:from>
    <xdr:to>
      <xdr:col>106</xdr:col>
      <xdr:colOff>0</xdr:colOff>
      <xdr:row>15</xdr:row>
      <xdr:rowOff>0</xdr:rowOff>
    </xdr:to>
    <xdr:sp>
      <xdr:nvSpPr>
        <xdr:cNvPr id="169" name="Rectangle 186"/>
        <xdr:cNvSpPr>
          <a:spLocks/>
        </xdr:cNvSpPr>
      </xdr:nvSpPr>
      <xdr:spPr>
        <a:xfrm>
          <a:off x="839533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16</xdr:row>
      <xdr:rowOff>0</xdr:rowOff>
    </xdr:from>
    <xdr:to>
      <xdr:col>106</xdr:col>
      <xdr:colOff>0</xdr:colOff>
      <xdr:row>19</xdr:row>
      <xdr:rowOff>0</xdr:rowOff>
    </xdr:to>
    <xdr:sp>
      <xdr:nvSpPr>
        <xdr:cNvPr id="170" name="Rectangle 187"/>
        <xdr:cNvSpPr>
          <a:spLocks/>
        </xdr:cNvSpPr>
      </xdr:nvSpPr>
      <xdr:spPr>
        <a:xfrm>
          <a:off x="839533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10</xdr:row>
      <xdr:rowOff>0</xdr:rowOff>
    </xdr:from>
    <xdr:to>
      <xdr:col>102</xdr:col>
      <xdr:colOff>0</xdr:colOff>
      <xdr:row>15</xdr:row>
      <xdr:rowOff>0</xdr:rowOff>
    </xdr:to>
    <xdr:sp>
      <xdr:nvSpPr>
        <xdr:cNvPr id="171" name="Rectangle 188"/>
        <xdr:cNvSpPr>
          <a:spLocks/>
        </xdr:cNvSpPr>
      </xdr:nvSpPr>
      <xdr:spPr>
        <a:xfrm>
          <a:off x="813339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10</xdr:row>
      <xdr:rowOff>0</xdr:rowOff>
    </xdr:from>
    <xdr:to>
      <xdr:col>105</xdr:col>
      <xdr:colOff>0</xdr:colOff>
      <xdr:row>15</xdr:row>
      <xdr:rowOff>0</xdr:rowOff>
    </xdr:to>
    <xdr:sp>
      <xdr:nvSpPr>
        <xdr:cNvPr id="172" name="Rectangle 189"/>
        <xdr:cNvSpPr>
          <a:spLocks/>
        </xdr:cNvSpPr>
      </xdr:nvSpPr>
      <xdr:spPr>
        <a:xfrm>
          <a:off x="820102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10</xdr:row>
      <xdr:rowOff>0</xdr:rowOff>
    </xdr:from>
    <xdr:to>
      <xdr:col>106</xdr:col>
      <xdr:colOff>0</xdr:colOff>
      <xdr:row>15</xdr:row>
      <xdr:rowOff>0</xdr:rowOff>
    </xdr:to>
    <xdr:sp>
      <xdr:nvSpPr>
        <xdr:cNvPr id="173" name="Rectangle 190"/>
        <xdr:cNvSpPr>
          <a:spLocks/>
        </xdr:cNvSpPr>
      </xdr:nvSpPr>
      <xdr:spPr>
        <a:xfrm>
          <a:off x="839533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10</xdr:row>
      <xdr:rowOff>0</xdr:rowOff>
    </xdr:from>
    <xdr:to>
      <xdr:col>109</xdr:col>
      <xdr:colOff>0</xdr:colOff>
      <xdr:row>15</xdr:row>
      <xdr:rowOff>0</xdr:rowOff>
    </xdr:to>
    <xdr:sp>
      <xdr:nvSpPr>
        <xdr:cNvPr id="174" name="Rectangle 191"/>
        <xdr:cNvSpPr>
          <a:spLocks/>
        </xdr:cNvSpPr>
      </xdr:nvSpPr>
      <xdr:spPr>
        <a:xfrm>
          <a:off x="849439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16</xdr:row>
      <xdr:rowOff>0</xdr:rowOff>
    </xdr:from>
    <xdr:to>
      <xdr:col>109</xdr:col>
      <xdr:colOff>0</xdr:colOff>
      <xdr:row>19</xdr:row>
      <xdr:rowOff>0</xdr:rowOff>
    </xdr:to>
    <xdr:sp>
      <xdr:nvSpPr>
        <xdr:cNvPr id="175" name="Rectangle 192"/>
        <xdr:cNvSpPr>
          <a:spLocks/>
        </xdr:cNvSpPr>
      </xdr:nvSpPr>
      <xdr:spPr>
        <a:xfrm>
          <a:off x="849439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21</xdr:row>
      <xdr:rowOff>0</xdr:rowOff>
    </xdr:from>
    <xdr:to>
      <xdr:col>109</xdr:col>
      <xdr:colOff>0</xdr:colOff>
      <xdr:row>24</xdr:row>
      <xdr:rowOff>0</xdr:rowOff>
    </xdr:to>
    <xdr:sp>
      <xdr:nvSpPr>
        <xdr:cNvPr id="176" name="Rectangle 193"/>
        <xdr:cNvSpPr>
          <a:spLocks/>
        </xdr:cNvSpPr>
      </xdr:nvSpPr>
      <xdr:spPr>
        <a:xfrm>
          <a:off x="849439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11</xdr:row>
      <xdr:rowOff>0</xdr:rowOff>
    </xdr:from>
    <xdr:to>
      <xdr:col>119</xdr:col>
      <xdr:colOff>0</xdr:colOff>
      <xdr:row>15</xdr:row>
      <xdr:rowOff>0</xdr:rowOff>
    </xdr:to>
    <xdr:sp>
      <xdr:nvSpPr>
        <xdr:cNvPr id="177" name="Rectangle 194"/>
        <xdr:cNvSpPr>
          <a:spLocks/>
        </xdr:cNvSpPr>
      </xdr:nvSpPr>
      <xdr:spPr>
        <a:xfrm>
          <a:off x="929068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21</xdr:row>
      <xdr:rowOff>0</xdr:rowOff>
    </xdr:from>
    <xdr:to>
      <xdr:col>115</xdr:col>
      <xdr:colOff>0</xdr:colOff>
      <xdr:row>24</xdr:row>
      <xdr:rowOff>0</xdr:rowOff>
    </xdr:to>
    <xdr:sp>
      <xdr:nvSpPr>
        <xdr:cNvPr id="178" name="Rectangle 195"/>
        <xdr:cNvSpPr>
          <a:spLocks/>
        </xdr:cNvSpPr>
      </xdr:nvSpPr>
      <xdr:spPr>
        <a:xfrm>
          <a:off x="892968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21</xdr:row>
      <xdr:rowOff>0</xdr:rowOff>
    </xdr:from>
    <xdr:to>
      <xdr:col>116</xdr:col>
      <xdr:colOff>0</xdr:colOff>
      <xdr:row>24</xdr:row>
      <xdr:rowOff>0</xdr:rowOff>
    </xdr:to>
    <xdr:sp>
      <xdr:nvSpPr>
        <xdr:cNvPr id="179" name="Rectangle 196"/>
        <xdr:cNvSpPr>
          <a:spLocks/>
        </xdr:cNvSpPr>
      </xdr:nvSpPr>
      <xdr:spPr>
        <a:xfrm>
          <a:off x="919162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21</xdr:row>
      <xdr:rowOff>0</xdr:rowOff>
    </xdr:from>
    <xdr:to>
      <xdr:col>112</xdr:col>
      <xdr:colOff>0</xdr:colOff>
      <xdr:row>24</xdr:row>
      <xdr:rowOff>0</xdr:rowOff>
    </xdr:to>
    <xdr:sp>
      <xdr:nvSpPr>
        <xdr:cNvPr id="180" name="Rectangle 197"/>
        <xdr:cNvSpPr>
          <a:spLocks/>
        </xdr:cNvSpPr>
      </xdr:nvSpPr>
      <xdr:spPr>
        <a:xfrm>
          <a:off x="892968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11</xdr:row>
      <xdr:rowOff>0</xdr:rowOff>
    </xdr:from>
    <xdr:to>
      <xdr:col>112</xdr:col>
      <xdr:colOff>0</xdr:colOff>
      <xdr:row>15</xdr:row>
      <xdr:rowOff>0</xdr:rowOff>
    </xdr:to>
    <xdr:sp>
      <xdr:nvSpPr>
        <xdr:cNvPr id="181" name="Rectangle 198"/>
        <xdr:cNvSpPr>
          <a:spLocks/>
        </xdr:cNvSpPr>
      </xdr:nvSpPr>
      <xdr:spPr>
        <a:xfrm>
          <a:off x="892968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16</xdr:row>
      <xdr:rowOff>0</xdr:rowOff>
    </xdr:from>
    <xdr:to>
      <xdr:col>112</xdr:col>
      <xdr:colOff>0</xdr:colOff>
      <xdr:row>19</xdr:row>
      <xdr:rowOff>0</xdr:rowOff>
    </xdr:to>
    <xdr:sp>
      <xdr:nvSpPr>
        <xdr:cNvPr id="182" name="Rectangle 199"/>
        <xdr:cNvSpPr>
          <a:spLocks/>
        </xdr:cNvSpPr>
      </xdr:nvSpPr>
      <xdr:spPr>
        <a:xfrm>
          <a:off x="892968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16</xdr:row>
      <xdr:rowOff>0</xdr:rowOff>
    </xdr:from>
    <xdr:to>
      <xdr:col>115</xdr:col>
      <xdr:colOff>0</xdr:colOff>
      <xdr:row>19</xdr:row>
      <xdr:rowOff>0</xdr:rowOff>
    </xdr:to>
    <xdr:sp>
      <xdr:nvSpPr>
        <xdr:cNvPr id="183" name="Rectangle 200"/>
        <xdr:cNvSpPr>
          <a:spLocks/>
        </xdr:cNvSpPr>
      </xdr:nvSpPr>
      <xdr:spPr>
        <a:xfrm>
          <a:off x="899731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11</xdr:row>
      <xdr:rowOff>0</xdr:rowOff>
    </xdr:from>
    <xdr:to>
      <xdr:col>115</xdr:col>
      <xdr:colOff>0</xdr:colOff>
      <xdr:row>15</xdr:row>
      <xdr:rowOff>0</xdr:rowOff>
    </xdr:to>
    <xdr:sp>
      <xdr:nvSpPr>
        <xdr:cNvPr id="184" name="Rectangle 201"/>
        <xdr:cNvSpPr>
          <a:spLocks/>
        </xdr:cNvSpPr>
      </xdr:nvSpPr>
      <xdr:spPr>
        <a:xfrm>
          <a:off x="899731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11</xdr:row>
      <xdr:rowOff>0</xdr:rowOff>
    </xdr:from>
    <xdr:to>
      <xdr:col>116</xdr:col>
      <xdr:colOff>0</xdr:colOff>
      <xdr:row>15</xdr:row>
      <xdr:rowOff>0</xdr:rowOff>
    </xdr:to>
    <xdr:sp>
      <xdr:nvSpPr>
        <xdr:cNvPr id="185" name="Rectangle 202"/>
        <xdr:cNvSpPr>
          <a:spLocks/>
        </xdr:cNvSpPr>
      </xdr:nvSpPr>
      <xdr:spPr>
        <a:xfrm>
          <a:off x="919162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16</xdr:row>
      <xdr:rowOff>0</xdr:rowOff>
    </xdr:from>
    <xdr:to>
      <xdr:col>116</xdr:col>
      <xdr:colOff>0</xdr:colOff>
      <xdr:row>19</xdr:row>
      <xdr:rowOff>0</xdr:rowOff>
    </xdr:to>
    <xdr:sp>
      <xdr:nvSpPr>
        <xdr:cNvPr id="186" name="Rectangle 203"/>
        <xdr:cNvSpPr>
          <a:spLocks/>
        </xdr:cNvSpPr>
      </xdr:nvSpPr>
      <xdr:spPr>
        <a:xfrm>
          <a:off x="919162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10</xdr:row>
      <xdr:rowOff>0</xdr:rowOff>
    </xdr:from>
    <xdr:to>
      <xdr:col>112</xdr:col>
      <xdr:colOff>0</xdr:colOff>
      <xdr:row>15</xdr:row>
      <xdr:rowOff>0</xdr:rowOff>
    </xdr:to>
    <xdr:sp>
      <xdr:nvSpPr>
        <xdr:cNvPr id="187" name="Rectangle 204"/>
        <xdr:cNvSpPr>
          <a:spLocks/>
        </xdr:cNvSpPr>
      </xdr:nvSpPr>
      <xdr:spPr>
        <a:xfrm>
          <a:off x="892968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0</xdr:colOff>
      <xdr:row>10</xdr:row>
      <xdr:rowOff>0</xdr:rowOff>
    </xdr:from>
    <xdr:to>
      <xdr:col>115</xdr:col>
      <xdr:colOff>0</xdr:colOff>
      <xdr:row>15</xdr:row>
      <xdr:rowOff>0</xdr:rowOff>
    </xdr:to>
    <xdr:sp>
      <xdr:nvSpPr>
        <xdr:cNvPr id="188" name="Rectangle 205"/>
        <xdr:cNvSpPr>
          <a:spLocks/>
        </xdr:cNvSpPr>
      </xdr:nvSpPr>
      <xdr:spPr>
        <a:xfrm>
          <a:off x="899731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10</xdr:row>
      <xdr:rowOff>0</xdr:rowOff>
    </xdr:from>
    <xdr:to>
      <xdr:col>116</xdr:col>
      <xdr:colOff>0</xdr:colOff>
      <xdr:row>15</xdr:row>
      <xdr:rowOff>0</xdr:rowOff>
    </xdr:to>
    <xdr:sp>
      <xdr:nvSpPr>
        <xdr:cNvPr id="189" name="Rectangle 206"/>
        <xdr:cNvSpPr>
          <a:spLocks/>
        </xdr:cNvSpPr>
      </xdr:nvSpPr>
      <xdr:spPr>
        <a:xfrm>
          <a:off x="919162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10</xdr:row>
      <xdr:rowOff>0</xdr:rowOff>
    </xdr:from>
    <xdr:to>
      <xdr:col>119</xdr:col>
      <xdr:colOff>0</xdr:colOff>
      <xdr:row>15</xdr:row>
      <xdr:rowOff>0</xdr:rowOff>
    </xdr:to>
    <xdr:sp>
      <xdr:nvSpPr>
        <xdr:cNvPr id="190" name="Rectangle 207"/>
        <xdr:cNvSpPr>
          <a:spLocks/>
        </xdr:cNvSpPr>
      </xdr:nvSpPr>
      <xdr:spPr>
        <a:xfrm>
          <a:off x="929068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16</xdr:row>
      <xdr:rowOff>0</xdr:rowOff>
    </xdr:from>
    <xdr:to>
      <xdr:col>119</xdr:col>
      <xdr:colOff>0</xdr:colOff>
      <xdr:row>19</xdr:row>
      <xdr:rowOff>0</xdr:rowOff>
    </xdr:to>
    <xdr:sp>
      <xdr:nvSpPr>
        <xdr:cNvPr id="191" name="Rectangle 208"/>
        <xdr:cNvSpPr>
          <a:spLocks/>
        </xdr:cNvSpPr>
      </xdr:nvSpPr>
      <xdr:spPr>
        <a:xfrm>
          <a:off x="929068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21</xdr:row>
      <xdr:rowOff>0</xdr:rowOff>
    </xdr:from>
    <xdr:to>
      <xdr:col>119</xdr:col>
      <xdr:colOff>0</xdr:colOff>
      <xdr:row>24</xdr:row>
      <xdr:rowOff>0</xdr:rowOff>
    </xdr:to>
    <xdr:sp>
      <xdr:nvSpPr>
        <xdr:cNvPr id="192" name="Rectangle 209"/>
        <xdr:cNvSpPr>
          <a:spLocks/>
        </xdr:cNvSpPr>
      </xdr:nvSpPr>
      <xdr:spPr>
        <a:xfrm>
          <a:off x="929068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11</xdr:row>
      <xdr:rowOff>0</xdr:rowOff>
    </xdr:from>
    <xdr:to>
      <xdr:col>129</xdr:col>
      <xdr:colOff>0</xdr:colOff>
      <xdr:row>15</xdr:row>
      <xdr:rowOff>0</xdr:rowOff>
    </xdr:to>
    <xdr:sp>
      <xdr:nvSpPr>
        <xdr:cNvPr id="193" name="Rectangle 210"/>
        <xdr:cNvSpPr>
          <a:spLocks/>
        </xdr:cNvSpPr>
      </xdr:nvSpPr>
      <xdr:spPr>
        <a:xfrm>
          <a:off x="1008697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21</xdr:row>
      <xdr:rowOff>0</xdr:rowOff>
    </xdr:from>
    <xdr:to>
      <xdr:col>125</xdr:col>
      <xdr:colOff>0</xdr:colOff>
      <xdr:row>24</xdr:row>
      <xdr:rowOff>0</xdr:rowOff>
    </xdr:to>
    <xdr:sp>
      <xdr:nvSpPr>
        <xdr:cNvPr id="194" name="Rectangle 211"/>
        <xdr:cNvSpPr>
          <a:spLocks/>
        </xdr:cNvSpPr>
      </xdr:nvSpPr>
      <xdr:spPr>
        <a:xfrm>
          <a:off x="97259775" y="3495675"/>
          <a:ext cx="26193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21</xdr:row>
      <xdr:rowOff>0</xdr:rowOff>
    </xdr:from>
    <xdr:to>
      <xdr:col>126</xdr:col>
      <xdr:colOff>0</xdr:colOff>
      <xdr:row>24</xdr:row>
      <xdr:rowOff>0</xdr:rowOff>
    </xdr:to>
    <xdr:sp>
      <xdr:nvSpPr>
        <xdr:cNvPr id="195" name="Rectangle 212"/>
        <xdr:cNvSpPr>
          <a:spLocks/>
        </xdr:cNvSpPr>
      </xdr:nvSpPr>
      <xdr:spPr>
        <a:xfrm>
          <a:off x="998791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21</xdr:row>
      <xdr:rowOff>0</xdr:rowOff>
    </xdr:from>
    <xdr:to>
      <xdr:col>122</xdr:col>
      <xdr:colOff>0</xdr:colOff>
      <xdr:row>24</xdr:row>
      <xdr:rowOff>0</xdr:rowOff>
    </xdr:to>
    <xdr:sp>
      <xdr:nvSpPr>
        <xdr:cNvPr id="196" name="Rectangle 213"/>
        <xdr:cNvSpPr>
          <a:spLocks/>
        </xdr:cNvSpPr>
      </xdr:nvSpPr>
      <xdr:spPr>
        <a:xfrm>
          <a:off x="972597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11</xdr:row>
      <xdr:rowOff>0</xdr:rowOff>
    </xdr:from>
    <xdr:to>
      <xdr:col>122</xdr:col>
      <xdr:colOff>0</xdr:colOff>
      <xdr:row>15</xdr:row>
      <xdr:rowOff>0</xdr:rowOff>
    </xdr:to>
    <xdr:sp>
      <xdr:nvSpPr>
        <xdr:cNvPr id="197" name="Rectangle 214"/>
        <xdr:cNvSpPr>
          <a:spLocks/>
        </xdr:cNvSpPr>
      </xdr:nvSpPr>
      <xdr:spPr>
        <a:xfrm>
          <a:off x="97259775" y="1800225"/>
          <a:ext cx="676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16</xdr:row>
      <xdr:rowOff>0</xdr:rowOff>
    </xdr:from>
    <xdr:to>
      <xdr:col>122</xdr:col>
      <xdr:colOff>0</xdr:colOff>
      <xdr:row>19</xdr:row>
      <xdr:rowOff>0</xdr:rowOff>
    </xdr:to>
    <xdr:sp>
      <xdr:nvSpPr>
        <xdr:cNvPr id="198" name="Rectangle 215"/>
        <xdr:cNvSpPr>
          <a:spLocks/>
        </xdr:cNvSpPr>
      </xdr:nvSpPr>
      <xdr:spPr>
        <a:xfrm>
          <a:off x="97259775" y="2647950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16</xdr:row>
      <xdr:rowOff>0</xdr:rowOff>
    </xdr:from>
    <xdr:to>
      <xdr:col>125</xdr:col>
      <xdr:colOff>0</xdr:colOff>
      <xdr:row>19</xdr:row>
      <xdr:rowOff>0</xdr:rowOff>
    </xdr:to>
    <xdr:sp>
      <xdr:nvSpPr>
        <xdr:cNvPr id="199" name="Rectangle 216"/>
        <xdr:cNvSpPr>
          <a:spLocks/>
        </xdr:cNvSpPr>
      </xdr:nvSpPr>
      <xdr:spPr>
        <a:xfrm>
          <a:off x="979360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11</xdr:row>
      <xdr:rowOff>0</xdr:rowOff>
    </xdr:from>
    <xdr:to>
      <xdr:col>125</xdr:col>
      <xdr:colOff>0</xdr:colOff>
      <xdr:row>15</xdr:row>
      <xdr:rowOff>0</xdr:rowOff>
    </xdr:to>
    <xdr:sp>
      <xdr:nvSpPr>
        <xdr:cNvPr id="200" name="Rectangle 217"/>
        <xdr:cNvSpPr>
          <a:spLocks/>
        </xdr:cNvSpPr>
      </xdr:nvSpPr>
      <xdr:spPr>
        <a:xfrm>
          <a:off x="97936050" y="1800225"/>
          <a:ext cx="19431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11</xdr:row>
      <xdr:rowOff>0</xdr:rowOff>
    </xdr:from>
    <xdr:to>
      <xdr:col>126</xdr:col>
      <xdr:colOff>0</xdr:colOff>
      <xdr:row>15</xdr:row>
      <xdr:rowOff>0</xdr:rowOff>
    </xdr:to>
    <xdr:sp>
      <xdr:nvSpPr>
        <xdr:cNvPr id="201" name="Rectangle 218"/>
        <xdr:cNvSpPr>
          <a:spLocks/>
        </xdr:cNvSpPr>
      </xdr:nvSpPr>
      <xdr:spPr>
        <a:xfrm>
          <a:off x="99879150" y="1800225"/>
          <a:ext cx="990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16</xdr:row>
      <xdr:rowOff>0</xdr:rowOff>
    </xdr:from>
    <xdr:to>
      <xdr:col>126</xdr:col>
      <xdr:colOff>0</xdr:colOff>
      <xdr:row>19</xdr:row>
      <xdr:rowOff>0</xdr:rowOff>
    </xdr:to>
    <xdr:sp>
      <xdr:nvSpPr>
        <xdr:cNvPr id="202" name="Rectangle 219"/>
        <xdr:cNvSpPr>
          <a:spLocks/>
        </xdr:cNvSpPr>
      </xdr:nvSpPr>
      <xdr:spPr>
        <a:xfrm>
          <a:off x="99879150" y="2647950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10</xdr:row>
      <xdr:rowOff>0</xdr:rowOff>
    </xdr:from>
    <xdr:to>
      <xdr:col>122</xdr:col>
      <xdr:colOff>0</xdr:colOff>
      <xdr:row>15</xdr:row>
      <xdr:rowOff>0</xdr:rowOff>
    </xdr:to>
    <xdr:sp>
      <xdr:nvSpPr>
        <xdr:cNvPr id="203" name="Rectangle 220"/>
        <xdr:cNvSpPr>
          <a:spLocks/>
        </xdr:cNvSpPr>
      </xdr:nvSpPr>
      <xdr:spPr>
        <a:xfrm>
          <a:off x="97259775" y="1628775"/>
          <a:ext cx="67627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10</xdr:row>
      <xdr:rowOff>0</xdr:rowOff>
    </xdr:from>
    <xdr:to>
      <xdr:col>125</xdr:col>
      <xdr:colOff>0</xdr:colOff>
      <xdr:row>15</xdr:row>
      <xdr:rowOff>0</xdr:rowOff>
    </xdr:to>
    <xdr:sp>
      <xdr:nvSpPr>
        <xdr:cNvPr id="204" name="Rectangle 221"/>
        <xdr:cNvSpPr>
          <a:spLocks/>
        </xdr:cNvSpPr>
      </xdr:nvSpPr>
      <xdr:spPr>
        <a:xfrm>
          <a:off x="979360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10</xdr:row>
      <xdr:rowOff>0</xdr:rowOff>
    </xdr:from>
    <xdr:to>
      <xdr:col>126</xdr:col>
      <xdr:colOff>0</xdr:colOff>
      <xdr:row>15</xdr:row>
      <xdr:rowOff>0</xdr:rowOff>
    </xdr:to>
    <xdr:sp>
      <xdr:nvSpPr>
        <xdr:cNvPr id="205" name="Rectangle 222"/>
        <xdr:cNvSpPr>
          <a:spLocks/>
        </xdr:cNvSpPr>
      </xdr:nvSpPr>
      <xdr:spPr>
        <a:xfrm>
          <a:off x="99879150" y="1628775"/>
          <a:ext cx="9906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10</xdr:row>
      <xdr:rowOff>0</xdr:rowOff>
    </xdr:from>
    <xdr:to>
      <xdr:col>129</xdr:col>
      <xdr:colOff>0</xdr:colOff>
      <xdr:row>15</xdr:row>
      <xdr:rowOff>0</xdr:rowOff>
    </xdr:to>
    <xdr:sp>
      <xdr:nvSpPr>
        <xdr:cNvPr id="206" name="Rectangle 223"/>
        <xdr:cNvSpPr>
          <a:spLocks/>
        </xdr:cNvSpPr>
      </xdr:nvSpPr>
      <xdr:spPr>
        <a:xfrm>
          <a:off x="100869750" y="1628775"/>
          <a:ext cx="194310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16</xdr:row>
      <xdr:rowOff>0</xdr:rowOff>
    </xdr:from>
    <xdr:to>
      <xdr:col>129</xdr:col>
      <xdr:colOff>0</xdr:colOff>
      <xdr:row>19</xdr:row>
      <xdr:rowOff>0</xdr:rowOff>
    </xdr:to>
    <xdr:sp>
      <xdr:nvSpPr>
        <xdr:cNvPr id="207" name="Rectangle 224"/>
        <xdr:cNvSpPr>
          <a:spLocks/>
        </xdr:cNvSpPr>
      </xdr:nvSpPr>
      <xdr:spPr>
        <a:xfrm>
          <a:off x="100869750" y="2647950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21</xdr:row>
      <xdr:rowOff>0</xdr:rowOff>
    </xdr:from>
    <xdr:to>
      <xdr:col>129</xdr:col>
      <xdr:colOff>0</xdr:colOff>
      <xdr:row>24</xdr:row>
      <xdr:rowOff>0</xdr:rowOff>
    </xdr:to>
    <xdr:sp>
      <xdr:nvSpPr>
        <xdr:cNvPr id="208" name="Rectangle 225"/>
        <xdr:cNvSpPr>
          <a:spLocks/>
        </xdr:cNvSpPr>
      </xdr:nvSpPr>
      <xdr:spPr>
        <a:xfrm>
          <a:off x="100869750" y="3495675"/>
          <a:ext cx="19431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24</xdr:row>
      <xdr:rowOff>0</xdr:rowOff>
    </xdr:to>
    <xdr:sp>
      <xdr:nvSpPr>
        <xdr:cNvPr id="209" name="Rectangle 226"/>
        <xdr:cNvSpPr>
          <a:spLocks/>
        </xdr:cNvSpPr>
      </xdr:nvSpPr>
      <xdr:spPr>
        <a:xfrm>
          <a:off x="4267200" y="3495675"/>
          <a:ext cx="10477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0</xdr:colOff>
      <xdr:row>24</xdr:row>
      <xdr:rowOff>0</xdr:rowOff>
    </xdr:to>
    <xdr:sp>
      <xdr:nvSpPr>
        <xdr:cNvPr id="210" name="Rectangle 227"/>
        <xdr:cNvSpPr>
          <a:spLocks/>
        </xdr:cNvSpPr>
      </xdr:nvSpPr>
      <xdr:spPr>
        <a:xfrm>
          <a:off x="96678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24</xdr:row>
      <xdr:rowOff>0</xdr:rowOff>
    </xdr:to>
    <xdr:sp>
      <xdr:nvSpPr>
        <xdr:cNvPr id="211" name="Rectangle 228"/>
        <xdr:cNvSpPr>
          <a:spLocks/>
        </xdr:cNvSpPr>
      </xdr:nvSpPr>
      <xdr:spPr>
        <a:xfrm>
          <a:off x="122872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24</xdr:row>
      <xdr:rowOff>0</xdr:rowOff>
    </xdr:to>
    <xdr:sp>
      <xdr:nvSpPr>
        <xdr:cNvPr id="212" name="Rectangle 229"/>
        <xdr:cNvSpPr>
          <a:spLocks/>
        </xdr:cNvSpPr>
      </xdr:nvSpPr>
      <xdr:spPr>
        <a:xfrm>
          <a:off x="122872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24</xdr:row>
      <xdr:rowOff>0</xdr:rowOff>
    </xdr:to>
    <xdr:sp>
      <xdr:nvSpPr>
        <xdr:cNvPr id="213" name="Rectangle 230"/>
        <xdr:cNvSpPr>
          <a:spLocks/>
        </xdr:cNvSpPr>
      </xdr:nvSpPr>
      <xdr:spPr>
        <a:xfrm>
          <a:off x="176307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24</xdr:row>
      <xdr:rowOff>0</xdr:rowOff>
    </xdr:to>
    <xdr:sp>
      <xdr:nvSpPr>
        <xdr:cNvPr id="214" name="Rectangle 231"/>
        <xdr:cNvSpPr>
          <a:spLocks/>
        </xdr:cNvSpPr>
      </xdr:nvSpPr>
      <xdr:spPr>
        <a:xfrm>
          <a:off x="176307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24</xdr:row>
      <xdr:rowOff>0</xdr:rowOff>
    </xdr:to>
    <xdr:sp>
      <xdr:nvSpPr>
        <xdr:cNvPr id="215" name="Rectangle 232"/>
        <xdr:cNvSpPr>
          <a:spLocks/>
        </xdr:cNvSpPr>
      </xdr:nvSpPr>
      <xdr:spPr>
        <a:xfrm>
          <a:off x="202501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24</xdr:row>
      <xdr:rowOff>0</xdr:rowOff>
    </xdr:to>
    <xdr:sp>
      <xdr:nvSpPr>
        <xdr:cNvPr id="216" name="Rectangle 233"/>
        <xdr:cNvSpPr>
          <a:spLocks/>
        </xdr:cNvSpPr>
      </xdr:nvSpPr>
      <xdr:spPr>
        <a:xfrm>
          <a:off x="202501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24</xdr:row>
      <xdr:rowOff>0</xdr:rowOff>
    </xdr:to>
    <xdr:sp>
      <xdr:nvSpPr>
        <xdr:cNvPr id="217" name="Rectangle 234"/>
        <xdr:cNvSpPr>
          <a:spLocks/>
        </xdr:cNvSpPr>
      </xdr:nvSpPr>
      <xdr:spPr>
        <a:xfrm>
          <a:off x="255936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24</xdr:row>
      <xdr:rowOff>0</xdr:rowOff>
    </xdr:to>
    <xdr:sp>
      <xdr:nvSpPr>
        <xdr:cNvPr id="218" name="Rectangle 235"/>
        <xdr:cNvSpPr>
          <a:spLocks/>
        </xdr:cNvSpPr>
      </xdr:nvSpPr>
      <xdr:spPr>
        <a:xfrm>
          <a:off x="255936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0</xdr:rowOff>
    </xdr:from>
    <xdr:to>
      <xdr:col>36</xdr:col>
      <xdr:colOff>0</xdr:colOff>
      <xdr:row>24</xdr:row>
      <xdr:rowOff>0</xdr:rowOff>
    </xdr:to>
    <xdr:sp>
      <xdr:nvSpPr>
        <xdr:cNvPr id="219" name="Rectangle 236"/>
        <xdr:cNvSpPr>
          <a:spLocks/>
        </xdr:cNvSpPr>
      </xdr:nvSpPr>
      <xdr:spPr>
        <a:xfrm>
          <a:off x="282130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0</xdr:rowOff>
    </xdr:from>
    <xdr:to>
      <xdr:col>36</xdr:col>
      <xdr:colOff>0</xdr:colOff>
      <xdr:row>24</xdr:row>
      <xdr:rowOff>0</xdr:rowOff>
    </xdr:to>
    <xdr:sp>
      <xdr:nvSpPr>
        <xdr:cNvPr id="220" name="Rectangle 237"/>
        <xdr:cNvSpPr>
          <a:spLocks/>
        </xdr:cNvSpPr>
      </xdr:nvSpPr>
      <xdr:spPr>
        <a:xfrm>
          <a:off x="282130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42</xdr:col>
      <xdr:colOff>0</xdr:colOff>
      <xdr:row>24</xdr:row>
      <xdr:rowOff>0</xdr:rowOff>
    </xdr:to>
    <xdr:sp>
      <xdr:nvSpPr>
        <xdr:cNvPr id="221" name="Rectangle 238"/>
        <xdr:cNvSpPr>
          <a:spLocks/>
        </xdr:cNvSpPr>
      </xdr:nvSpPr>
      <xdr:spPr>
        <a:xfrm>
          <a:off x="335565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42</xdr:col>
      <xdr:colOff>0</xdr:colOff>
      <xdr:row>24</xdr:row>
      <xdr:rowOff>0</xdr:rowOff>
    </xdr:to>
    <xdr:sp>
      <xdr:nvSpPr>
        <xdr:cNvPr id="222" name="Rectangle 239"/>
        <xdr:cNvSpPr>
          <a:spLocks/>
        </xdr:cNvSpPr>
      </xdr:nvSpPr>
      <xdr:spPr>
        <a:xfrm>
          <a:off x="335565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0</xdr:colOff>
      <xdr:row>24</xdr:row>
      <xdr:rowOff>0</xdr:rowOff>
    </xdr:to>
    <xdr:sp>
      <xdr:nvSpPr>
        <xdr:cNvPr id="223" name="Rectangle 240"/>
        <xdr:cNvSpPr>
          <a:spLocks/>
        </xdr:cNvSpPr>
      </xdr:nvSpPr>
      <xdr:spPr>
        <a:xfrm>
          <a:off x="361759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0</xdr:colOff>
      <xdr:row>24</xdr:row>
      <xdr:rowOff>0</xdr:rowOff>
    </xdr:to>
    <xdr:sp>
      <xdr:nvSpPr>
        <xdr:cNvPr id="224" name="Rectangle 241"/>
        <xdr:cNvSpPr>
          <a:spLocks/>
        </xdr:cNvSpPr>
      </xdr:nvSpPr>
      <xdr:spPr>
        <a:xfrm>
          <a:off x="361759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52</xdr:col>
      <xdr:colOff>0</xdr:colOff>
      <xdr:row>24</xdr:row>
      <xdr:rowOff>0</xdr:rowOff>
    </xdr:to>
    <xdr:sp>
      <xdr:nvSpPr>
        <xdr:cNvPr id="225" name="Rectangle 242"/>
        <xdr:cNvSpPr>
          <a:spLocks/>
        </xdr:cNvSpPr>
      </xdr:nvSpPr>
      <xdr:spPr>
        <a:xfrm>
          <a:off x="415194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52</xdr:col>
      <xdr:colOff>0</xdr:colOff>
      <xdr:row>24</xdr:row>
      <xdr:rowOff>0</xdr:rowOff>
    </xdr:to>
    <xdr:sp>
      <xdr:nvSpPr>
        <xdr:cNvPr id="226" name="Rectangle 243"/>
        <xdr:cNvSpPr>
          <a:spLocks/>
        </xdr:cNvSpPr>
      </xdr:nvSpPr>
      <xdr:spPr>
        <a:xfrm>
          <a:off x="415194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56</xdr:col>
      <xdr:colOff>0</xdr:colOff>
      <xdr:row>24</xdr:row>
      <xdr:rowOff>0</xdr:rowOff>
    </xdr:to>
    <xdr:sp>
      <xdr:nvSpPr>
        <xdr:cNvPr id="227" name="Rectangle 244"/>
        <xdr:cNvSpPr>
          <a:spLocks/>
        </xdr:cNvSpPr>
      </xdr:nvSpPr>
      <xdr:spPr>
        <a:xfrm>
          <a:off x="441388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56</xdr:col>
      <xdr:colOff>0</xdr:colOff>
      <xdr:row>24</xdr:row>
      <xdr:rowOff>0</xdr:rowOff>
    </xdr:to>
    <xdr:sp>
      <xdr:nvSpPr>
        <xdr:cNvPr id="228" name="Rectangle 245"/>
        <xdr:cNvSpPr>
          <a:spLocks/>
        </xdr:cNvSpPr>
      </xdr:nvSpPr>
      <xdr:spPr>
        <a:xfrm>
          <a:off x="441388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21</xdr:row>
      <xdr:rowOff>0</xdr:rowOff>
    </xdr:from>
    <xdr:to>
      <xdr:col>62</xdr:col>
      <xdr:colOff>0</xdr:colOff>
      <xdr:row>24</xdr:row>
      <xdr:rowOff>0</xdr:rowOff>
    </xdr:to>
    <xdr:sp>
      <xdr:nvSpPr>
        <xdr:cNvPr id="229" name="Rectangle 246"/>
        <xdr:cNvSpPr>
          <a:spLocks/>
        </xdr:cNvSpPr>
      </xdr:nvSpPr>
      <xdr:spPr>
        <a:xfrm>
          <a:off x="494823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21</xdr:row>
      <xdr:rowOff>0</xdr:rowOff>
    </xdr:from>
    <xdr:to>
      <xdr:col>62</xdr:col>
      <xdr:colOff>0</xdr:colOff>
      <xdr:row>24</xdr:row>
      <xdr:rowOff>0</xdr:rowOff>
    </xdr:to>
    <xdr:sp>
      <xdr:nvSpPr>
        <xdr:cNvPr id="230" name="Rectangle 247"/>
        <xdr:cNvSpPr>
          <a:spLocks/>
        </xdr:cNvSpPr>
      </xdr:nvSpPr>
      <xdr:spPr>
        <a:xfrm>
          <a:off x="494823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0</xdr:rowOff>
    </xdr:from>
    <xdr:to>
      <xdr:col>66</xdr:col>
      <xdr:colOff>0</xdr:colOff>
      <xdr:row>24</xdr:row>
      <xdr:rowOff>0</xdr:rowOff>
    </xdr:to>
    <xdr:sp>
      <xdr:nvSpPr>
        <xdr:cNvPr id="231" name="Rectangle 248"/>
        <xdr:cNvSpPr>
          <a:spLocks/>
        </xdr:cNvSpPr>
      </xdr:nvSpPr>
      <xdr:spPr>
        <a:xfrm>
          <a:off x="521017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0</xdr:rowOff>
    </xdr:from>
    <xdr:to>
      <xdr:col>66</xdr:col>
      <xdr:colOff>0</xdr:colOff>
      <xdr:row>24</xdr:row>
      <xdr:rowOff>0</xdr:rowOff>
    </xdr:to>
    <xdr:sp>
      <xdr:nvSpPr>
        <xdr:cNvPr id="232" name="Rectangle 249"/>
        <xdr:cNvSpPr>
          <a:spLocks/>
        </xdr:cNvSpPr>
      </xdr:nvSpPr>
      <xdr:spPr>
        <a:xfrm>
          <a:off x="521017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72</xdr:col>
      <xdr:colOff>0</xdr:colOff>
      <xdr:row>24</xdr:row>
      <xdr:rowOff>0</xdr:rowOff>
    </xdr:to>
    <xdr:sp>
      <xdr:nvSpPr>
        <xdr:cNvPr id="233" name="Rectangle 250"/>
        <xdr:cNvSpPr>
          <a:spLocks/>
        </xdr:cNvSpPr>
      </xdr:nvSpPr>
      <xdr:spPr>
        <a:xfrm>
          <a:off x="574452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72</xdr:col>
      <xdr:colOff>0</xdr:colOff>
      <xdr:row>24</xdr:row>
      <xdr:rowOff>0</xdr:rowOff>
    </xdr:to>
    <xdr:sp>
      <xdr:nvSpPr>
        <xdr:cNvPr id="234" name="Rectangle 251"/>
        <xdr:cNvSpPr>
          <a:spLocks/>
        </xdr:cNvSpPr>
      </xdr:nvSpPr>
      <xdr:spPr>
        <a:xfrm>
          <a:off x="574452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21</xdr:row>
      <xdr:rowOff>0</xdr:rowOff>
    </xdr:from>
    <xdr:to>
      <xdr:col>76</xdr:col>
      <xdr:colOff>0</xdr:colOff>
      <xdr:row>24</xdr:row>
      <xdr:rowOff>0</xdr:rowOff>
    </xdr:to>
    <xdr:sp>
      <xdr:nvSpPr>
        <xdr:cNvPr id="235" name="Rectangle 252"/>
        <xdr:cNvSpPr>
          <a:spLocks/>
        </xdr:cNvSpPr>
      </xdr:nvSpPr>
      <xdr:spPr>
        <a:xfrm>
          <a:off x="600646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21</xdr:row>
      <xdr:rowOff>0</xdr:rowOff>
    </xdr:from>
    <xdr:to>
      <xdr:col>76</xdr:col>
      <xdr:colOff>0</xdr:colOff>
      <xdr:row>24</xdr:row>
      <xdr:rowOff>0</xdr:rowOff>
    </xdr:to>
    <xdr:sp>
      <xdr:nvSpPr>
        <xdr:cNvPr id="236" name="Rectangle 253"/>
        <xdr:cNvSpPr>
          <a:spLocks/>
        </xdr:cNvSpPr>
      </xdr:nvSpPr>
      <xdr:spPr>
        <a:xfrm>
          <a:off x="600646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21</xdr:row>
      <xdr:rowOff>0</xdr:rowOff>
    </xdr:from>
    <xdr:to>
      <xdr:col>82</xdr:col>
      <xdr:colOff>0</xdr:colOff>
      <xdr:row>24</xdr:row>
      <xdr:rowOff>0</xdr:rowOff>
    </xdr:to>
    <xdr:sp>
      <xdr:nvSpPr>
        <xdr:cNvPr id="237" name="Rectangle 254"/>
        <xdr:cNvSpPr>
          <a:spLocks/>
        </xdr:cNvSpPr>
      </xdr:nvSpPr>
      <xdr:spPr>
        <a:xfrm>
          <a:off x="654081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21</xdr:row>
      <xdr:rowOff>0</xdr:rowOff>
    </xdr:from>
    <xdr:to>
      <xdr:col>82</xdr:col>
      <xdr:colOff>0</xdr:colOff>
      <xdr:row>24</xdr:row>
      <xdr:rowOff>0</xdr:rowOff>
    </xdr:to>
    <xdr:sp>
      <xdr:nvSpPr>
        <xdr:cNvPr id="238" name="Rectangle 255"/>
        <xdr:cNvSpPr>
          <a:spLocks/>
        </xdr:cNvSpPr>
      </xdr:nvSpPr>
      <xdr:spPr>
        <a:xfrm>
          <a:off x="654081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86</xdr:col>
      <xdr:colOff>0</xdr:colOff>
      <xdr:row>24</xdr:row>
      <xdr:rowOff>0</xdr:rowOff>
    </xdr:to>
    <xdr:sp>
      <xdr:nvSpPr>
        <xdr:cNvPr id="239" name="Rectangle 256"/>
        <xdr:cNvSpPr>
          <a:spLocks/>
        </xdr:cNvSpPr>
      </xdr:nvSpPr>
      <xdr:spPr>
        <a:xfrm>
          <a:off x="680275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86</xdr:col>
      <xdr:colOff>0</xdr:colOff>
      <xdr:row>24</xdr:row>
      <xdr:rowOff>0</xdr:rowOff>
    </xdr:to>
    <xdr:sp>
      <xdr:nvSpPr>
        <xdr:cNvPr id="240" name="Rectangle 257"/>
        <xdr:cNvSpPr>
          <a:spLocks/>
        </xdr:cNvSpPr>
      </xdr:nvSpPr>
      <xdr:spPr>
        <a:xfrm>
          <a:off x="680275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21</xdr:row>
      <xdr:rowOff>0</xdr:rowOff>
    </xdr:from>
    <xdr:to>
      <xdr:col>92</xdr:col>
      <xdr:colOff>0</xdr:colOff>
      <xdr:row>24</xdr:row>
      <xdr:rowOff>0</xdr:rowOff>
    </xdr:to>
    <xdr:sp>
      <xdr:nvSpPr>
        <xdr:cNvPr id="241" name="Rectangle 258"/>
        <xdr:cNvSpPr>
          <a:spLocks/>
        </xdr:cNvSpPr>
      </xdr:nvSpPr>
      <xdr:spPr>
        <a:xfrm>
          <a:off x="733710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21</xdr:row>
      <xdr:rowOff>0</xdr:rowOff>
    </xdr:from>
    <xdr:to>
      <xdr:col>92</xdr:col>
      <xdr:colOff>0</xdr:colOff>
      <xdr:row>24</xdr:row>
      <xdr:rowOff>0</xdr:rowOff>
    </xdr:to>
    <xdr:sp>
      <xdr:nvSpPr>
        <xdr:cNvPr id="242" name="Rectangle 259"/>
        <xdr:cNvSpPr>
          <a:spLocks/>
        </xdr:cNvSpPr>
      </xdr:nvSpPr>
      <xdr:spPr>
        <a:xfrm>
          <a:off x="733710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21</xdr:row>
      <xdr:rowOff>0</xdr:rowOff>
    </xdr:from>
    <xdr:to>
      <xdr:col>96</xdr:col>
      <xdr:colOff>0</xdr:colOff>
      <xdr:row>24</xdr:row>
      <xdr:rowOff>0</xdr:rowOff>
    </xdr:to>
    <xdr:sp>
      <xdr:nvSpPr>
        <xdr:cNvPr id="243" name="Rectangle 260"/>
        <xdr:cNvSpPr>
          <a:spLocks/>
        </xdr:cNvSpPr>
      </xdr:nvSpPr>
      <xdr:spPr>
        <a:xfrm>
          <a:off x="759904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21</xdr:row>
      <xdr:rowOff>0</xdr:rowOff>
    </xdr:from>
    <xdr:to>
      <xdr:col>96</xdr:col>
      <xdr:colOff>0</xdr:colOff>
      <xdr:row>24</xdr:row>
      <xdr:rowOff>0</xdr:rowOff>
    </xdr:to>
    <xdr:sp>
      <xdr:nvSpPr>
        <xdr:cNvPr id="244" name="Rectangle 261"/>
        <xdr:cNvSpPr>
          <a:spLocks/>
        </xdr:cNvSpPr>
      </xdr:nvSpPr>
      <xdr:spPr>
        <a:xfrm>
          <a:off x="759904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21</xdr:row>
      <xdr:rowOff>0</xdr:rowOff>
    </xdr:from>
    <xdr:to>
      <xdr:col>102</xdr:col>
      <xdr:colOff>0</xdr:colOff>
      <xdr:row>24</xdr:row>
      <xdr:rowOff>0</xdr:rowOff>
    </xdr:to>
    <xdr:sp>
      <xdr:nvSpPr>
        <xdr:cNvPr id="245" name="Rectangle 262"/>
        <xdr:cNvSpPr>
          <a:spLocks/>
        </xdr:cNvSpPr>
      </xdr:nvSpPr>
      <xdr:spPr>
        <a:xfrm>
          <a:off x="813339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21</xdr:row>
      <xdr:rowOff>0</xdr:rowOff>
    </xdr:from>
    <xdr:to>
      <xdr:col>102</xdr:col>
      <xdr:colOff>0</xdr:colOff>
      <xdr:row>24</xdr:row>
      <xdr:rowOff>0</xdr:rowOff>
    </xdr:to>
    <xdr:sp>
      <xdr:nvSpPr>
        <xdr:cNvPr id="246" name="Rectangle 263"/>
        <xdr:cNvSpPr>
          <a:spLocks/>
        </xdr:cNvSpPr>
      </xdr:nvSpPr>
      <xdr:spPr>
        <a:xfrm>
          <a:off x="813339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21</xdr:row>
      <xdr:rowOff>0</xdr:rowOff>
    </xdr:from>
    <xdr:to>
      <xdr:col>106</xdr:col>
      <xdr:colOff>0</xdr:colOff>
      <xdr:row>24</xdr:row>
      <xdr:rowOff>0</xdr:rowOff>
    </xdr:to>
    <xdr:sp>
      <xdr:nvSpPr>
        <xdr:cNvPr id="247" name="Rectangle 264"/>
        <xdr:cNvSpPr>
          <a:spLocks/>
        </xdr:cNvSpPr>
      </xdr:nvSpPr>
      <xdr:spPr>
        <a:xfrm>
          <a:off x="839533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21</xdr:row>
      <xdr:rowOff>0</xdr:rowOff>
    </xdr:from>
    <xdr:to>
      <xdr:col>106</xdr:col>
      <xdr:colOff>0</xdr:colOff>
      <xdr:row>24</xdr:row>
      <xdr:rowOff>0</xdr:rowOff>
    </xdr:to>
    <xdr:sp>
      <xdr:nvSpPr>
        <xdr:cNvPr id="248" name="Rectangle 265"/>
        <xdr:cNvSpPr>
          <a:spLocks/>
        </xdr:cNvSpPr>
      </xdr:nvSpPr>
      <xdr:spPr>
        <a:xfrm>
          <a:off x="839533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21</xdr:row>
      <xdr:rowOff>0</xdr:rowOff>
    </xdr:from>
    <xdr:to>
      <xdr:col>112</xdr:col>
      <xdr:colOff>0</xdr:colOff>
      <xdr:row>24</xdr:row>
      <xdr:rowOff>0</xdr:rowOff>
    </xdr:to>
    <xdr:sp>
      <xdr:nvSpPr>
        <xdr:cNvPr id="249" name="Rectangle 266"/>
        <xdr:cNvSpPr>
          <a:spLocks/>
        </xdr:cNvSpPr>
      </xdr:nvSpPr>
      <xdr:spPr>
        <a:xfrm>
          <a:off x="892968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21</xdr:row>
      <xdr:rowOff>0</xdr:rowOff>
    </xdr:from>
    <xdr:to>
      <xdr:col>112</xdr:col>
      <xdr:colOff>0</xdr:colOff>
      <xdr:row>24</xdr:row>
      <xdr:rowOff>0</xdr:rowOff>
    </xdr:to>
    <xdr:sp>
      <xdr:nvSpPr>
        <xdr:cNvPr id="250" name="Rectangle 267"/>
        <xdr:cNvSpPr>
          <a:spLocks/>
        </xdr:cNvSpPr>
      </xdr:nvSpPr>
      <xdr:spPr>
        <a:xfrm>
          <a:off x="892968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21</xdr:row>
      <xdr:rowOff>0</xdr:rowOff>
    </xdr:from>
    <xdr:to>
      <xdr:col>116</xdr:col>
      <xdr:colOff>0</xdr:colOff>
      <xdr:row>24</xdr:row>
      <xdr:rowOff>0</xdr:rowOff>
    </xdr:to>
    <xdr:sp>
      <xdr:nvSpPr>
        <xdr:cNvPr id="251" name="Rectangle 268"/>
        <xdr:cNvSpPr>
          <a:spLocks/>
        </xdr:cNvSpPr>
      </xdr:nvSpPr>
      <xdr:spPr>
        <a:xfrm>
          <a:off x="919162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21</xdr:row>
      <xdr:rowOff>0</xdr:rowOff>
    </xdr:from>
    <xdr:to>
      <xdr:col>116</xdr:col>
      <xdr:colOff>0</xdr:colOff>
      <xdr:row>24</xdr:row>
      <xdr:rowOff>0</xdr:rowOff>
    </xdr:to>
    <xdr:sp>
      <xdr:nvSpPr>
        <xdr:cNvPr id="252" name="Rectangle 269"/>
        <xdr:cNvSpPr>
          <a:spLocks/>
        </xdr:cNvSpPr>
      </xdr:nvSpPr>
      <xdr:spPr>
        <a:xfrm>
          <a:off x="919162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21</xdr:row>
      <xdr:rowOff>0</xdr:rowOff>
    </xdr:from>
    <xdr:to>
      <xdr:col>122</xdr:col>
      <xdr:colOff>0</xdr:colOff>
      <xdr:row>24</xdr:row>
      <xdr:rowOff>0</xdr:rowOff>
    </xdr:to>
    <xdr:sp>
      <xdr:nvSpPr>
        <xdr:cNvPr id="253" name="Rectangle 270"/>
        <xdr:cNvSpPr>
          <a:spLocks/>
        </xdr:cNvSpPr>
      </xdr:nvSpPr>
      <xdr:spPr>
        <a:xfrm>
          <a:off x="972597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21</xdr:row>
      <xdr:rowOff>0</xdr:rowOff>
    </xdr:from>
    <xdr:to>
      <xdr:col>122</xdr:col>
      <xdr:colOff>0</xdr:colOff>
      <xdr:row>24</xdr:row>
      <xdr:rowOff>0</xdr:rowOff>
    </xdr:to>
    <xdr:sp>
      <xdr:nvSpPr>
        <xdr:cNvPr id="254" name="Rectangle 271"/>
        <xdr:cNvSpPr>
          <a:spLocks/>
        </xdr:cNvSpPr>
      </xdr:nvSpPr>
      <xdr:spPr>
        <a:xfrm>
          <a:off x="97259775" y="3495675"/>
          <a:ext cx="6762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21</xdr:row>
      <xdr:rowOff>0</xdr:rowOff>
    </xdr:from>
    <xdr:to>
      <xdr:col>126</xdr:col>
      <xdr:colOff>0</xdr:colOff>
      <xdr:row>24</xdr:row>
      <xdr:rowOff>0</xdr:rowOff>
    </xdr:to>
    <xdr:sp>
      <xdr:nvSpPr>
        <xdr:cNvPr id="255" name="Rectangle 272"/>
        <xdr:cNvSpPr>
          <a:spLocks/>
        </xdr:cNvSpPr>
      </xdr:nvSpPr>
      <xdr:spPr>
        <a:xfrm>
          <a:off x="998791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21</xdr:row>
      <xdr:rowOff>0</xdr:rowOff>
    </xdr:from>
    <xdr:to>
      <xdr:col>126</xdr:col>
      <xdr:colOff>0</xdr:colOff>
      <xdr:row>24</xdr:row>
      <xdr:rowOff>0</xdr:rowOff>
    </xdr:to>
    <xdr:sp>
      <xdr:nvSpPr>
        <xdr:cNvPr id="256" name="Rectangle 273"/>
        <xdr:cNvSpPr>
          <a:spLocks/>
        </xdr:cNvSpPr>
      </xdr:nvSpPr>
      <xdr:spPr>
        <a:xfrm>
          <a:off x="99879150" y="3495675"/>
          <a:ext cx="990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19</xdr:row>
      <xdr:rowOff>0</xdr:rowOff>
    </xdr:to>
    <xdr:sp>
      <xdr:nvSpPr>
        <xdr:cNvPr id="257" name="Rectangle 279"/>
        <xdr:cNvSpPr>
          <a:spLocks/>
        </xdr:cNvSpPr>
      </xdr:nvSpPr>
      <xdr:spPr>
        <a:xfrm>
          <a:off x="212407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0</xdr:rowOff>
    </xdr:from>
    <xdr:to>
      <xdr:col>37</xdr:col>
      <xdr:colOff>0</xdr:colOff>
      <xdr:row>19</xdr:row>
      <xdr:rowOff>0</xdr:rowOff>
    </xdr:to>
    <xdr:sp>
      <xdr:nvSpPr>
        <xdr:cNvPr id="258" name="Rectangle 281"/>
        <xdr:cNvSpPr>
          <a:spLocks/>
        </xdr:cNvSpPr>
      </xdr:nvSpPr>
      <xdr:spPr>
        <a:xfrm>
          <a:off x="292036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47</xdr:col>
      <xdr:colOff>0</xdr:colOff>
      <xdr:row>19</xdr:row>
      <xdr:rowOff>0</xdr:rowOff>
    </xdr:to>
    <xdr:sp>
      <xdr:nvSpPr>
        <xdr:cNvPr id="259" name="Rectangle 283"/>
        <xdr:cNvSpPr>
          <a:spLocks/>
        </xdr:cNvSpPr>
      </xdr:nvSpPr>
      <xdr:spPr>
        <a:xfrm>
          <a:off x="371665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0</xdr:rowOff>
    </xdr:from>
    <xdr:to>
      <xdr:col>57</xdr:col>
      <xdr:colOff>0</xdr:colOff>
      <xdr:row>19</xdr:row>
      <xdr:rowOff>0</xdr:rowOff>
    </xdr:to>
    <xdr:sp>
      <xdr:nvSpPr>
        <xdr:cNvPr id="260" name="Rectangle 285"/>
        <xdr:cNvSpPr>
          <a:spLocks/>
        </xdr:cNvSpPr>
      </xdr:nvSpPr>
      <xdr:spPr>
        <a:xfrm>
          <a:off x="451294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0</xdr:rowOff>
    </xdr:from>
    <xdr:to>
      <xdr:col>67</xdr:col>
      <xdr:colOff>0</xdr:colOff>
      <xdr:row>19</xdr:row>
      <xdr:rowOff>0</xdr:rowOff>
    </xdr:to>
    <xdr:sp>
      <xdr:nvSpPr>
        <xdr:cNvPr id="261" name="Rectangle 289"/>
        <xdr:cNvSpPr>
          <a:spLocks/>
        </xdr:cNvSpPr>
      </xdr:nvSpPr>
      <xdr:spPr>
        <a:xfrm>
          <a:off x="530923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16</xdr:row>
      <xdr:rowOff>0</xdr:rowOff>
    </xdr:from>
    <xdr:to>
      <xdr:col>77</xdr:col>
      <xdr:colOff>0</xdr:colOff>
      <xdr:row>19</xdr:row>
      <xdr:rowOff>0</xdr:rowOff>
    </xdr:to>
    <xdr:sp>
      <xdr:nvSpPr>
        <xdr:cNvPr id="262" name="Rectangle 291"/>
        <xdr:cNvSpPr>
          <a:spLocks/>
        </xdr:cNvSpPr>
      </xdr:nvSpPr>
      <xdr:spPr>
        <a:xfrm>
          <a:off x="610552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87</xdr:col>
      <xdr:colOff>0</xdr:colOff>
      <xdr:row>19</xdr:row>
      <xdr:rowOff>0</xdr:rowOff>
    </xdr:to>
    <xdr:sp>
      <xdr:nvSpPr>
        <xdr:cNvPr id="263" name="Rectangle 293"/>
        <xdr:cNvSpPr>
          <a:spLocks/>
        </xdr:cNvSpPr>
      </xdr:nvSpPr>
      <xdr:spPr>
        <a:xfrm>
          <a:off x="690181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16</xdr:row>
      <xdr:rowOff>0</xdr:rowOff>
    </xdr:from>
    <xdr:to>
      <xdr:col>97</xdr:col>
      <xdr:colOff>0</xdr:colOff>
      <xdr:row>19</xdr:row>
      <xdr:rowOff>0</xdr:rowOff>
    </xdr:to>
    <xdr:sp>
      <xdr:nvSpPr>
        <xdr:cNvPr id="264" name="Rectangle 295"/>
        <xdr:cNvSpPr>
          <a:spLocks/>
        </xdr:cNvSpPr>
      </xdr:nvSpPr>
      <xdr:spPr>
        <a:xfrm>
          <a:off x="769810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16</xdr:row>
      <xdr:rowOff>0</xdr:rowOff>
    </xdr:from>
    <xdr:to>
      <xdr:col>107</xdr:col>
      <xdr:colOff>0</xdr:colOff>
      <xdr:row>19</xdr:row>
      <xdr:rowOff>0</xdr:rowOff>
    </xdr:to>
    <xdr:sp>
      <xdr:nvSpPr>
        <xdr:cNvPr id="265" name="Rectangle 297"/>
        <xdr:cNvSpPr>
          <a:spLocks/>
        </xdr:cNvSpPr>
      </xdr:nvSpPr>
      <xdr:spPr>
        <a:xfrm>
          <a:off x="849439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16</xdr:row>
      <xdr:rowOff>0</xdr:rowOff>
    </xdr:from>
    <xdr:to>
      <xdr:col>117</xdr:col>
      <xdr:colOff>0</xdr:colOff>
      <xdr:row>19</xdr:row>
      <xdr:rowOff>0</xdr:rowOff>
    </xdr:to>
    <xdr:sp>
      <xdr:nvSpPr>
        <xdr:cNvPr id="266" name="Rectangle 299"/>
        <xdr:cNvSpPr>
          <a:spLocks/>
        </xdr:cNvSpPr>
      </xdr:nvSpPr>
      <xdr:spPr>
        <a:xfrm>
          <a:off x="929068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16</xdr:row>
      <xdr:rowOff>0</xdr:rowOff>
    </xdr:from>
    <xdr:to>
      <xdr:col>127</xdr:col>
      <xdr:colOff>0</xdr:colOff>
      <xdr:row>19</xdr:row>
      <xdr:rowOff>0</xdr:rowOff>
    </xdr:to>
    <xdr:sp>
      <xdr:nvSpPr>
        <xdr:cNvPr id="267" name="Rectangle 301"/>
        <xdr:cNvSpPr>
          <a:spLocks/>
        </xdr:cNvSpPr>
      </xdr:nvSpPr>
      <xdr:spPr>
        <a:xfrm>
          <a:off x="1008697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0</xdr:rowOff>
    </xdr:from>
    <xdr:to>
      <xdr:col>63</xdr:col>
      <xdr:colOff>0</xdr:colOff>
      <xdr:row>24</xdr:row>
      <xdr:rowOff>0</xdr:rowOff>
    </xdr:to>
    <xdr:sp>
      <xdr:nvSpPr>
        <xdr:cNvPr id="268" name="Rectangle 302"/>
        <xdr:cNvSpPr>
          <a:spLocks/>
        </xdr:cNvSpPr>
      </xdr:nvSpPr>
      <xdr:spPr>
        <a:xfrm>
          <a:off x="50158650" y="3495675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0</xdr:rowOff>
    </xdr:from>
    <xdr:to>
      <xdr:col>63</xdr:col>
      <xdr:colOff>0</xdr:colOff>
      <xdr:row>19</xdr:row>
      <xdr:rowOff>0</xdr:rowOff>
    </xdr:to>
    <xdr:sp>
      <xdr:nvSpPr>
        <xdr:cNvPr id="269" name="Rectangle 303"/>
        <xdr:cNvSpPr>
          <a:spLocks/>
        </xdr:cNvSpPr>
      </xdr:nvSpPr>
      <xdr:spPr>
        <a:xfrm>
          <a:off x="501586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0</xdr:rowOff>
    </xdr:from>
    <xdr:to>
      <xdr:col>63</xdr:col>
      <xdr:colOff>0</xdr:colOff>
      <xdr:row>24</xdr:row>
      <xdr:rowOff>0</xdr:rowOff>
    </xdr:to>
    <xdr:sp>
      <xdr:nvSpPr>
        <xdr:cNvPr id="270" name="Rectangle 304"/>
        <xdr:cNvSpPr>
          <a:spLocks/>
        </xdr:cNvSpPr>
      </xdr:nvSpPr>
      <xdr:spPr>
        <a:xfrm>
          <a:off x="50158650" y="3495675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0</xdr:rowOff>
    </xdr:from>
    <xdr:to>
      <xdr:col>63</xdr:col>
      <xdr:colOff>0</xdr:colOff>
      <xdr:row>24</xdr:row>
      <xdr:rowOff>0</xdr:rowOff>
    </xdr:to>
    <xdr:sp>
      <xdr:nvSpPr>
        <xdr:cNvPr id="271" name="Rectangle 305"/>
        <xdr:cNvSpPr>
          <a:spLocks/>
        </xdr:cNvSpPr>
      </xdr:nvSpPr>
      <xdr:spPr>
        <a:xfrm>
          <a:off x="50158650" y="3495675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0</xdr:rowOff>
    </xdr:from>
    <xdr:to>
      <xdr:col>73</xdr:col>
      <xdr:colOff>0</xdr:colOff>
      <xdr:row>24</xdr:row>
      <xdr:rowOff>0</xdr:rowOff>
    </xdr:to>
    <xdr:sp>
      <xdr:nvSpPr>
        <xdr:cNvPr id="272" name="Rectangle 306"/>
        <xdr:cNvSpPr>
          <a:spLocks/>
        </xdr:cNvSpPr>
      </xdr:nvSpPr>
      <xdr:spPr>
        <a:xfrm>
          <a:off x="58121550" y="3495675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16</xdr:row>
      <xdr:rowOff>0</xdr:rowOff>
    </xdr:from>
    <xdr:to>
      <xdr:col>73</xdr:col>
      <xdr:colOff>0</xdr:colOff>
      <xdr:row>19</xdr:row>
      <xdr:rowOff>0</xdr:rowOff>
    </xdr:to>
    <xdr:sp>
      <xdr:nvSpPr>
        <xdr:cNvPr id="273" name="Rectangle 307"/>
        <xdr:cNvSpPr>
          <a:spLocks/>
        </xdr:cNvSpPr>
      </xdr:nvSpPr>
      <xdr:spPr>
        <a:xfrm>
          <a:off x="581215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0</xdr:rowOff>
    </xdr:from>
    <xdr:to>
      <xdr:col>73</xdr:col>
      <xdr:colOff>0</xdr:colOff>
      <xdr:row>24</xdr:row>
      <xdr:rowOff>0</xdr:rowOff>
    </xdr:to>
    <xdr:sp>
      <xdr:nvSpPr>
        <xdr:cNvPr id="274" name="Rectangle 308"/>
        <xdr:cNvSpPr>
          <a:spLocks/>
        </xdr:cNvSpPr>
      </xdr:nvSpPr>
      <xdr:spPr>
        <a:xfrm>
          <a:off x="58121550" y="3495675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0</xdr:rowOff>
    </xdr:from>
    <xdr:to>
      <xdr:col>73</xdr:col>
      <xdr:colOff>0</xdr:colOff>
      <xdr:row>24</xdr:row>
      <xdr:rowOff>0</xdr:rowOff>
    </xdr:to>
    <xdr:sp>
      <xdr:nvSpPr>
        <xdr:cNvPr id="275" name="Rectangle 309"/>
        <xdr:cNvSpPr>
          <a:spLocks/>
        </xdr:cNvSpPr>
      </xdr:nvSpPr>
      <xdr:spPr>
        <a:xfrm>
          <a:off x="58121550" y="3495675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16</xdr:row>
      <xdr:rowOff>0</xdr:rowOff>
    </xdr:from>
    <xdr:to>
      <xdr:col>93</xdr:col>
      <xdr:colOff>0</xdr:colOff>
      <xdr:row>19</xdr:row>
      <xdr:rowOff>0</xdr:rowOff>
    </xdr:to>
    <xdr:sp>
      <xdr:nvSpPr>
        <xdr:cNvPr id="276" name="Rectangle 311"/>
        <xdr:cNvSpPr>
          <a:spLocks/>
        </xdr:cNvSpPr>
      </xdr:nvSpPr>
      <xdr:spPr>
        <a:xfrm>
          <a:off x="74047350" y="2647950"/>
          <a:ext cx="6477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9.57421875" style="0" customWidth="1"/>
    <col min="2" max="2" width="8.8515625" style="0" customWidth="1"/>
    <col min="3" max="3" width="24.8515625" style="0" hidden="1" customWidth="1"/>
    <col min="4" max="4" width="7.00390625" style="0" customWidth="1"/>
    <col min="5" max="5" width="6.57421875" style="0" customWidth="1"/>
    <col min="6" max="9" width="6.00390625" style="0" customWidth="1"/>
    <col min="10" max="10" width="6.57421875" style="70" customWidth="1"/>
    <col min="11" max="11" width="6.00390625" style="70" customWidth="1"/>
    <col min="12" max="12" width="6.57421875" style="70" customWidth="1"/>
    <col min="13" max="13" width="6.00390625" style="70" customWidth="1"/>
    <col min="14" max="16" width="6.7109375" style="70" customWidth="1"/>
    <col min="17" max="17" width="8.7109375" style="0" customWidth="1"/>
    <col min="18" max="18" width="10.8515625" style="70" hidden="1" customWidth="1"/>
    <col min="19" max="19" width="8.140625" style="0" hidden="1" customWidth="1"/>
    <col min="20" max="20" width="9.8515625" style="0" hidden="1" customWidth="1"/>
    <col min="21" max="21" width="10.8515625" style="0" hidden="1" customWidth="1"/>
    <col min="22" max="22" width="7.57421875" style="0" hidden="1" customWidth="1"/>
    <col min="23" max="23" width="7.140625" style="0" hidden="1" customWidth="1"/>
    <col min="24" max="24" width="10.57421875" style="0" hidden="1" customWidth="1"/>
    <col min="25" max="25" width="10.7109375" style="0" hidden="1" customWidth="1"/>
    <col min="26" max="27" width="10.140625" style="0" hidden="1" customWidth="1"/>
  </cols>
  <sheetData>
    <row r="1" spans="1:27" ht="13.5" thickBot="1">
      <c r="A1" s="464" t="s">
        <v>186</v>
      </c>
      <c r="B1" s="407"/>
      <c r="C1" s="407"/>
      <c r="D1" s="407"/>
      <c r="E1" s="407"/>
      <c r="F1" s="407"/>
      <c r="G1" s="408"/>
      <c r="H1" s="407"/>
      <c r="I1" s="407"/>
      <c r="J1" s="465"/>
      <c r="K1" s="466"/>
      <c r="L1" s="461"/>
      <c r="M1" s="465"/>
      <c r="N1" s="465"/>
      <c r="O1" s="465"/>
      <c r="P1" s="465"/>
      <c r="Q1" s="408"/>
      <c r="R1" s="489"/>
      <c r="S1" s="407"/>
      <c r="T1" s="407"/>
      <c r="U1" s="441"/>
      <c r="V1" s="407"/>
      <c r="W1" s="407"/>
      <c r="X1" s="407"/>
      <c r="Y1" s="407"/>
      <c r="Z1" s="407"/>
      <c r="AA1" s="408"/>
    </row>
    <row r="2" spans="1:27" ht="38.25">
      <c r="A2" s="369"/>
      <c r="B2" s="89"/>
      <c r="C2" s="89"/>
      <c r="D2" s="398" t="s">
        <v>54</v>
      </c>
      <c r="E2" s="398" t="s">
        <v>55</v>
      </c>
      <c r="F2" s="398" t="s">
        <v>56</v>
      </c>
      <c r="G2" s="399" t="s">
        <v>57</v>
      </c>
      <c r="H2" s="399" t="s">
        <v>58</v>
      </c>
      <c r="I2" s="400" t="s">
        <v>59</v>
      </c>
      <c r="J2" s="398" t="s">
        <v>60</v>
      </c>
      <c r="K2" s="380" t="s">
        <v>61</v>
      </c>
      <c r="L2" s="458" t="s">
        <v>62</v>
      </c>
      <c r="M2" s="483" t="s">
        <v>63</v>
      </c>
      <c r="N2" s="399" t="s">
        <v>64</v>
      </c>
      <c r="O2" s="399" t="s">
        <v>23</v>
      </c>
      <c r="P2" s="399" t="s">
        <v>20</v>
      </c>
      <c r="Q2" s="458" t="s">
        <v>65</v>
      </c>
      <c r="R2" s="487" t="s">
        <v>259</v>
      </c>
      <c r="S2" s="403" t="s">
        <v>53</v>
      </c>
      <c r="T2" s="404" t="s">
        <v>66</v>
      </c>
      <c r="U2" s="442" t="s">
        <v>260</v>
      </c>
      <c r="V2" s="400" t="s">
        <v>53</v>
      </c>
      <c r="W2" s="401" t="s">
        <v>66</v>
      </c>
      <c r="X2" s="405" t="s">
        <v>220</v>
      </c>
      <c r="Y2" s="402" t="s">
        <v>221</v>
      </c>
      <c r="Z2" s="406" t="s">
        <v>18</v>
      </c>
      <c r="AA2" s="403" t="s">
        <v>4</v>
      </c>
    </row>
    <row r="3" spans="1:27" ht="12.75">
      <c r="A3" s="467" t="s">
        <v>24</v>
      </c>
      <c r="B3" s="322"/>
      <c r="C3" s="426" t="s">
        <v>222</v>
      </c>
      <c r="D3" s="329"/>
      <c r="E3" s="77"/>
      <c r="F3" s="77"/>
      <c r="G3" s="329"/>
      <c r="H3" s="325"/>
      <c r="I3" s="138"/>
      <c r="J3" s="124"/>
      <c r="K3" s="376"/>
      <c r="L3" s="382"/>
      <c r="M3" s="382"/>
      <c r="N3" s="382"/>
      <c r="O3" s="382"/>
      <c r="P3" s="382"/>
      <c r="Q3" s="329"/>
      <c r="R3" s="88"/>
      <c r="S3" s="77"/>
      <c r="T3" s="89"/>
      <c r="U3" s="77"/>
      <c r="V3" s="89"/>
      <c r="W3" s="369"/>
      <c r="X3" s="77"/>
      <c r="Y3" s="77"/>
      <c r="Z3" s="369"/>
      <c r="AA3" s="77"/>
    </row>
    <row r="4" spans="1:27" ht="38.25" customHeight="1">
      <c r="A4" s="468" t="s">
        <v>68</v>
      </c>
      <c r="B4" s="410" t="s">
        <v>69</v>
      </c>
      <c r="C4" s="417" t="s">
        <v>70</v>
      </c>
      <c r="D4" s="382">
        <f>SUM(E4:Q4)</f>
        <v>403372</v>
      </c>
      <c r="E4" s="124">
        <v>42046</v>
      </c>
      <c r="F4" s="124">
        <v>31497</v>
      </c>
      <c r="G4" s="382">
        <v>30872</v>
      </c>
      <c r="H4" s="376">
        <v>23488</v>
      </c>
      <c r="I4" s="141">
        <v>27389</v>
      </c>
      <c r="J4" s="124">
        <f>29537+281</f>
        <v>29818</v>
      </c>
      <c r="K4" s="376">
        <f>31833+386</f>
        <v>32219</v>
      </c>
      <c r="L4" s="382">
        <f>33194+343</f>
        <v>33537</v>
      </c>
      <c r="M4" s="382">
        <v>32496</v>
      </c>
      <c r="N4" s="382">
        <f>28424+275</f>
        <v>28699</v>
      </c>
      <c r="O4" s="382">
        <v>33458</v>
      </c>
      <c r="P4" s="382">
        <v>29428</v>
      </c>
      <c r="Q4" s="329">
        <f>28085+340</f>
        <v>28425</v>
      </c>
      <c r="R4" s="88">
        <v>34492</v>
      </c>
      <c r="S4" s="77">
        <f>M4-R4</f>
        <v>-1996</v>
      </c>
      <c r="T4" s="327">
        <f>S4/K4</f>
        <v>-0.06195102268847574</v>
      </c>
      <c r="U4" s="124">
        <v>294180</v>
      </c>
      <c r="V4" s="89">
        <f>U4-D4</f>
        <v>-109192</v>
      </c>
      <c r="W4" s="385">
        <f>V4/U4</f>
        <v>-0.3711741110884492</v>
      </c>
      <c r="X4" s="387">
        <f>D4*(365/$D$69)</f>
        <v>403372</v>
      </c>
      <c r="Y4" s="77">
        <v>421080</v>
      </c>
      <c r="Z4" s="390">
        <f>Y4-X4</f>
        <v>17708</v>
      </c>
      <c r="AA4" s="323">
        <f>Z4/Y4</f>
        <v>0.04205376650517716</v>
      </c>
    </row>
    <row r="5" spans="1:27" ht="12.75">
      <c r="A5" s="469"/>
      <c r="B5" s="410"/>
      <c r="C5" s="418"/>
      <c r="D5" s="382"/>
      <c r="E5" s="124"/>
      <c r="F5" s="124"/>
      <c r="G5" s="382"/>
      <c r="H5" s="376"/>
      <c r="I5" s="141"/>
      <c r="J5" s="124"/>
      <c r="K5" s="376"/>
      <c r="L5" s="382"/>
      <c r="M5" s="382"/>
      <c r="N5" s="382"/>
      <c r="O5" s="382"/>
      <c r="P5" s="382"/>
      <c r="Q5" s="329"/>
      <c r="R5" s="88"/>
      <c r="S5" s="77"/>
      <c r="T5" s="78"/>
      <c r="U5" s="124"/>
      <c r="V5" s="89"/>
      <c r="W5" s="385"/>
      <c r="X5" s="387"/>
      <c r="Y5" s="77"/>
      <c r="Z5" s="390"/>
      <c r="AA5" s="323"/>
    </row>
    <row r="6" spans="1:27" ht="12.75">
      <c r="A6" s="469" t="s">
        <v>71</v>
      </c>
      <c r="B6" s="410" t="s">
        <v>72</v>
      </c>
      <c r="C6" s="418" t="s">
        <v>73</v>
      </c>
      <c r="D6" s="382">
        <f>SUM(E6:Q6)</f>
        <v>2453</v>
      </c>
      <c r="E6" s="124">
        <v>215</v>
      </c>
      <c r="F6" s="124">
        <v>129</v>
      </c>
      <c r="G6" s="382">
        <v>255</v>
      </c>
      <c r="H6" s="376">
        <v>262</v>
      </c>
      <c r="I6" s="141">
        <v>187</v>
      </c>
      <c r="J6" s="124">
        <v>189</v>
      </c>
      <c r="K6" s="376">
        <v>145</v>
      </c>
      <c r="L6" s="382">
        <v>172</v>
      </c>
      <c r="M6" s="382">
        <v>179</v>
      </c>
      <c r="N6" s="382">
        <v>153</v>
      </c>
      <c r="O6" s="382">
        <v>186</v>
      </c>
      <c r="P6" s="382">
        <v>114</v>
      </c>
      <c r="Q6" s="329">
        <v>267</v>
      </c>
      <c r="R6" s="88">
        <v>19</v>
      </c>
      <c r="S6" s="77">
        <f aca="true" t="shared" si="0" ref="S6:S15">M6-R6</f>
        <v>160</v>
      </c>
      <c r="T6" s="327">
        <f aca="true" t="shared" si="1" ref="T6:T16">S6/K6</f>
        <v>1.103448275862069</v>
      </c>
      <c r="U6" s="124">
        <v>319</v>
      </c>
      <c r="V6" s="89">
        <f aca="true" t="shared" si="2" ref="V6:V12">U6-D6</f>
        <v>-2134</v>
      </c>
      <c r="W6" s="385">
        <f aca="true" t="shared" si="3" ref="W6:W12">V6/U6</f>
        <v>-6.689655172413793</v>
      </c>
      <c r="X6" s="387">
        <f aca="true" t="shared" si="4" ref="X6:X62">D6*(365/$D$69)</f>
        <v>2453</v>
      </c>
      <c r="Y6" s="77">
        <v>1078</v>
      </c>
      <c r="Z6" s="390">
        <f aca="true" t="shared" si="5" ref="Z6:Z12">Y6-X6</f>
        <v>-1375</v>
      </c>
      <c r="AA6" s="323">
        <f aca="true" t="shared" si="6" ref="AA6:AA12">Z6/Y6</f>
        <v>-1.2755102040816326</v>
      </c>
    </row>
    <row r="7" spans="1:27" ht="12.75">
      <c r="A7" s="469" t="s">
        <v>74</v>
      </c>
      <c r="B7" s="410"/>
      <c r="C7" s="418" t="s">
        <v>73</v>
      </c>
      <c r="D7" s="382">
        <f>SUM(E7:Q7)</f>
        <v>134475</v>
      </c>
      <c r="E7" s="124">
        <v>12938</v>
      </c>
      <c r="F7" s="124">
        <v>10209</v>
      </c>
      <c r="G7" s="382">
        <v>10535</v>
      </c>
      <c r="H7" s="376">
        <v>9639</v>
      </c>
      <c r="I7" s="141">
        <v>10097</v>
      </c>
      <c r="J7" s="124">
        <v>9207</v>
      </c>
      <c r="K7" s="376">
        <v>9748</v>
      </c>
      <c r="L7" s="382">
        <v>10880</v>
      </c>
      <c r="M7" s="382">
        <v>10148</v>
      </c>
      <c r="N7" s="382">
        <v>11120</v>
      </c>
      <c r="O7" s="382">
        <v>10893</v>
      </c>
      <c r="P7" s="382">
        <v>9240</v>
      </c>
      <c r="Q7" s="329">
        <v>9821</v>
      </c>
      <c r="R7" s="88">
        <v>9836</v>
      </c>
      <c r="S7" s="77">
        <f t="shared" si="0"/>
        <v>312</v>
      </c>
      <c r="T7" s="327">
        <f t="shared" si="1"/>
        <v>0.03200656544932294</v>
      </c>
      <c r="U7" s="124">
        <v>93252</v>
      </c>
      <c r="V7" s="89">
        <f t="shared" si="2"/>
        <v>-41223</v>
      </c>
      <c r="W7" s="385">
        <f t="shared" si="3"/>
        <v>-0.44206022390940675</v>
      </c>
      <c r="X7" s="387">
        <f t="shared" si="4"/>
        <v>134475</v>
      </c>
      <c r="Y7" s="77">
        <v>132251</v>
      </c>
      <c r="Z7" s="390">
        <f t="shared" si="5"/>
        <v>-2224</v>
      </c>
      <c r="AA7" s="323">
        <f t="shared" si="6"/>
        <v>-0.0168165080037202</v>
      </c>
    </row>
    <row r="8" spans="1:27" ht="12.75">
      <c r="A8" s="470" t="s">
        <v>75</v>
      </c>
      <c r="B8" s="410" t="s">
        <v>208</v>
      </c>
      <c r="C8" s="418" t="s">
        <v>76</v>
      </c>
      <c r="D8" s="382">
        <f aca="true" t="shared" si="7" ref="D8:D14">SUM(E8:Q8)</f>
        <v>1793</v>
      </c>
      <c r="E8" s="124">
        <v>63</v>
      </c>
      <c r="F8" s="124">
        <v>80</v>
      </c>
      <c r="G8" s="382">
        <v>48</v>
      </c>
      <c r="H8" s="376">
        <v>46</v>
      </c>
      <c r="I8" s="141">
        <v>130</v>
      </c>
      <c r="J8" s="124">
        <v>87</v>
      </c>
      <c r="K8" s="376">
        <v>114</v>
      </c>
      <c r="L8" s="382">
        <v>177</v>
      </c>
      <c r="M8" s="382">
        <v>187</v>
      </c>
      <c r="N8" s="382">
        <v>140</v>
      </c>
      <c r="O8" s="382">
        <v>198</v>
      </c>
      <c r="P8" s="382">
        <v>332</v>
      </c>
      <c r="Q8" s="329">
        <v>191</v>
      </c>
      <c r="R8" s="88">
        <v>105</v>
      </c>
      <c r="S8" s="77">
        <f t="shared" si="0"/>
        <v>82</v>
      </c>
      <c r="T8" s="327">
        <f t="shared" si="1"/>
        <v>0.7192982456140351</v>
      </c>
      <c r="U8" s="124">
        <v>231</v>
      </c>
      <c r="V8" s="89">
        <f t="shared" si="2"/>
        <v>-1562</v>
      </c>
      <c r="W8" s="385">
        <f t="shared" si="3"/>
        <v>-6.761904761904762</v>
      </c>
      <c r="X8" s="387">
        <f t="shared" si="4"/>
        <v>1793</v>
      </c>
      <c r="Y8" s="77">
        <v>545</v>
      </c>
      <c r="Z8" s="390">
        <f t="shared" si="5"/>
        <v>-1248</v>
      </c>
      <c r="AA8" s="323">
        <f t="shared" si="6"/>
        <v>-2.289908256880734</v>
      </c>
    </row>
    <row r="9" spans="1:27" ht="12.75">
      <c r="A9" s="469"/>
      <c r="B9" s="410" t="s">
        <v>77</v>
      </c>
      <c r="C9" s="418" t="s">
        <v>76</v>
      </c>
      <c r="D9" s="382">
        <f t="shared" si="7"/>
        <v>17853</v>
      </c>
      <c r="E9" s="124">
        <v>1657</v>
      </c>
      <c r="F9" s="124">
        <v>1213</v>
      </c>
      <c r="G9" s="382">
        <v>1419</v>
      </c>
      <c r="H9" s="376">
        <v>1322</v>
      </c>
      <c r="I9" s="141">
        <v>1383</v>
      </c>
      <c r="J9" s="124">
        <v>1341</v>
      </c>
      <c r="K9" s="376">
        <v>1439</v>
      </c>
      <c r="L9" s="382">
        <v>2119</v>
      </c>
      <c r="M9" s="382">
        <v>1271</v>
      </c>
      <c r="N9" s="382">
        <v>1204</v>
      </c>
      <c r="O9" s="382">
        <v>1174</v>
      </c>
      <c r="P9" s="382">
        <v>1246</v>
      </c>
      <c r="Q9" s="329">
        <v>1065</v>
      </c>
      <c r="R9" s="88">
        <v>1349</v>
      </c>
      <c r="S9" s="77">
        <f t="shared" si="0"/>
        <v>-78</v>
      </c>
      <c r="T9" s="327">
        <f t="shared" si="1"/>
        <v>-0.054204308547602505</v>
      </c>
      <c r="U9" s="124">
        <v>12268</v>
      </c>
      <c r="V9" s="89">
        <f t="shared" si="2"/>
        <v>-5585</v>
      </c>
      <c r="W9" s="385">
        <f t="shared" si="3"/>
        <v>-0.45524942940984675</v>
      </c>
      <c r="X9" s="387">
        <f t="shared" si="4"/>
        <v>17853</v>
      </c>
      <c r="Y9" s="77">
        <v>17106</v>
      </c>
      <c r="Z9" s="390">
        <f t="shared" si="5"/>
        <v>-747</v>
      </c>
      <c r="AA9" s="323">
        <f t="shared" si="6"/>
        <v>-0.04366888810943528</v>
      </c>
    </row>
    <row r="10" spans="1:27" ht="12.75">
      <c r="A10" s="469"/>
      <c r="B10" s="410" t="s">
        <v>78</v>
      </c>
      <c r="C10" s="418" t="s">
        <v>76</v>
      </c>
      <c r="D10" s="382">
        <f t="shared" si="7"/>
        <v>707</v>
      </c>
      <c r="E10" s="124">
        <v>76</v>
      </c>
      <c r="F10" s="124">
        <v>51</v>
      </c>
      <c r="G10" s="382">
        <v>54</v>
      </c>
      <c r="H10" s="376">
        <v>53</v>
      </c>
      <c r="I10" s="141">
        <v>57</v>
      </c>
      <c r="J10" s="124">
        <v>61</v>
      </c>
      <c r="K10" s="376">
        <v>76</v>
      </c>
      <c r="L10" s="382">
        <v>65</v>
      </c>
      <c r="M10" s="382">
        <v>47</v>
      </c>
      <c r="N10" s="382">
        <v>33</v>
      </c>
      <c r="O10" s="382">
        <v>36</v>
      </c>
      <c r="P10" s="382">
        <v>52</v>
      </c>
      <c r="Q10" s="329">
        <v>46</v>
      </c>
      <c r="R10" s="88">
        <v>54</v>
      </c>
      <c r="S10" s="77">
        <f t="shared" si="0"/>
        <v>-7</v>
      </c>
      <c r="T10" s="327">
        <f t="shared" si="1"/>
        <v>-0.09210526315789473</v>
      </c>
      <c r="U10" s="124">
        <v>542</v>
      </c>
      <c r="V10" s="89">
        <f t="shared" si="2"/>
        <v>-165</v>
      </c>
      <c r="W10" s="385">
        <f t="shared" si="3"/>
        <v>-0.3044280442804428</v>
      </c>
      <c r="X10" s="387">
        <f t="shared" si="4"/>
        <v>707</v>
      </c>
      <c r="Y10" s="77">
        <v>767</v>
      </c>
      <c r="Z10" s="390">
        <f t="shared" si="5"/>
        <v>60</v>
      </c>
      <c r="AA10" s="323">
        <f t="shared" si="6"/>
        <v>0.07822685788787484</v>
      </c>
    </row>
    <row r="11" spans="1:27" ht="12.75">
      <c r="A11" s="469"/>
      <c r="B11" s="410" t="s">
        <v>79</v>
      </c>
      <c r="C11" s="418" t="s">
        <v>76</v>
      </c>
      <c r="D11" s="382">
        <f t="shared" si="7"/>
        <v>983</v>
      </c>
      <c r="E11" s="124">
        <v>67</v>
      </c>
      <c r="F11" s="124">
        <v>77</v>
      </c>
      <c r="G11" s="382">
        <v>87</v>
      </c>
      <c r="H11" s="376">
        <v>72</v>
      </c>
      <c r="I11" s="141">
        <v>74</v>
      </c>
      <c r="J11" s="124">
        <v>79</v>
      </c>
      <c r="K11" s="376">
        <v>79</v>
      </c>
      <c r="L11" s="382">
        <v>27</v>
      </c>
      <c r="M11" s="382">
        <v>104</v>
      </c>
      <c r="N11" s="382">
        <v>51</v>
      </c>
      <c r="O11" s="382">
        <v>97</v>
      </c>
      <c r="P11" s="382">
        <v>106</v>
      </c>
      <c r="Q11" s="329">
        <v>63</v>
      </c>
      <c r="R11" s="88">
        <v>90</v>
      </c>
      <c r="S11" s="77">
        <f t="shared" si="0"/>
        <v>14</v>
      </c>
      <c r="T11" s="327">
        <f t="shared" si="1"/>
        <v>0.17721518987341772</v>
      </c>
      <c r="U11" s="124">
        <v>466</v>
      </c>
      <c r="V11" s="89">
        <f t="shared" si="2"/>
        <v>-517</v>
      </c>
      <c r="W11" s="385">
        <f t="shared" si="3"/>
        <v>-1.109442060085837</v>
      </c>
      <c r="X11" s="387">
        <f t="shared" si="4"/>
        <v>983</v>
      </c>
      <c r="Y11" s="77">
        <v>631</v>
      </c>
      <c r="Z11" s="390">
        <f t="shared" si="5"/>
        <v>-352</v>
      </c>
      <c r="AA11" s="323">
        <f t="shared" si="6"/>
        <v>-0.5578446909667195</v>
      </c>
    </row>
    <row r="12" spans="1:27" ht="12.75">
      <c r="A12" s="469"/>
      <c r="B12" s="410" t="s">
        <v>80</v>
      </c>
      <c r="C12" s="418" t="s">
        <v>76</v>
      </c>
      <c r="D12" s="382">
        <f t="shared" si="7"/>
        <v>1995</v>
      </c>
      <c r="E12" s="124">
        <v>368</v>
      </c>
      <c r="F12" s="124">
        <v>60</v>
      </c>
      <c r="G12" s="382">
        <v>104</v>
      </c>
      <c r="H12" s="376">
        <v>31</v>
      </c>
      <c r="I12" s="141">
        <v>108</v>
      </c>
      <c r="J12" s="124">
        <v>23</v>
      </c>
      <c r="K12" s="376">
        <v>230</v>
      </c>
      <c r="L12" s="382">
        <v>213</v>
      </c>
      <c r="M12" s="382">
        <v>78</v>
      </c>
      <c r="N12" s="382">
        <v>433</v>
      </c>
      <c r="O12" s="382">
        <v>60</v>
      </c>
      <c r="P12" s="382">
        <v>220</v>
      </c>
      <c r="Q12" s="329">
        <v>67</v>
      </c>
      <c r="R12" s="88">
        <v>109</v>
      </c>
      <c r="S12" s="77">
        <f t="shared" si="0"/>
        <v>-31</v>
      </c>
      <c r="T12" s="327">
        <f t="shared" si="1"/>
        <v>-0.13478260869565217</v>
      </c>
      <c r="U12" s="124">
        <v>1814</v>
      </c>
      <c r="V12" s="89">
        <f t="shared" si="2"/>
        <v>-181</v>
      </c>
      <c r="W12" s="385">
        <f t="shared" si="3"/>
        <v>-0.09977949283351709</v>
      </c>
      <c r="X12" s="387">
        <f t="shared" si="4"/>
        <v>1995</v>
      </c>
      <c r="Y12" s="77">
        <v>2409</v>
      </c>
      <c r="Z12" s="390">
        <f t="shared" si="5"/>
        <v>414</v>
      </c>
      <c r="AA12" s="323">
        <f t="shared" si="6"/>
        <v>0.1718555417185554</v>
      </c>
    </row>
    <row r="13" spans="1:27" ht="12.75">
      <c r="A13" s="469"/>
      <c r="B13" s="410" t="s">
        <v>81</v>
      </c>
      <c r="C13" s="418" t="s">
        <v>76</v>
      </c>
      <c r="D13" s="382">
        <f t="shared" si="7"/>
        <v>797</v>
      </c>
      <c r="E13" s="124">
        <v>74</v>
      </c>
      <c r="F13" s="124">
        <v>61</v>
      </c>
      <c r="G13" s="382">
        <v>63</v>
      </c>
      <c r="H13" s="376">
        <v>58</v>
      </c>
      <c r="I13" s="141">
        <v>46</v>
      </c>
      <c r="J13" s="124">
        <v>53</v>
      </c>
      <c r="K13" s="376">
        <v>54</v>
      </c>
      <c r="L13" s="382">
        <v>65</v>
      </c>
      <c r="M13" s="382">
        <v>58</v>
      </c>
      <c r="N13" s="382">
        <v>51</v>
      </c>
      <c r="O13" s="382">
        <v>91</v>
      </c>
      <c r="P13" s="382">
        <v>68</v>
      </c>
      <c r="Q13" s="329">
        <v>55</v>
      </c>
      <c r="R13" s="88">
        <v>28</v>
      </c>
      <c r="S13" s="77">
        <f t="shared" si="0"/>
        <v>30</v>
      </c>
      <c r="T13" s="327">
        <f t="shared" si="1"/>
        <v>0.5555555555555556</v>
      </c>
      <c r="U13" s="124">
        <v>173</v>
      </c>
      <c r="V13" s="89"/>
      <c r="W13" s="385"/>
      <c r="X13" s="387">
        <f t="shared" si="4"/>
        <v>797</v>
      </c>
      <c r="Y13" s="77">
        <v>379</v>
      </c>
      <c r="Z13" s="390"/>
      <c r="AA13" s="323"/>
    </row>
    <row r="14" spans="1:27" ht="12.75">
      <c r="A14" s="469"/>
      <c r="B14" s="410" t="s">
        <v>82</v>
      </c>
      <c r="C14" s="418" t="s">
        <v>73</v>
      </c>
      <c r="D14" s="382">
        <f t="shared" si="7"/>
        <v>0</v>
      </c>
      <c r="E14" s="124">
        <v>0</v>
      </c>
      <c r="F14" s="124">
        <v>0</v>
      </c>
      <c r="G14" s="382">
        <v>0</v>
      </c>
      <c r="H14" s="376">
        <v>0</v>
      </c>
      <c r="I14" s="141">
        <v>0</v>
      </c>
      <c r="J14" s="124">
        <v>0</v>
      </c>
      <c r="K14" s="376">
        <v>0</v>
      </c>
      <c r="L14" s="382">
        <v>0</v>
      </c>
      <c r="M14" s="382">
        <v>0</v>
      </c>
      <c r="N14" s="382">
        <v>0</v>
      </c>
      <c r="O14" s="382"/>
      <c r="P14" s="382"/>
      <c r="Q14" s="329">
        <v>0</v>
      </c>
      <c r="R14" s="88">
        <v>0</v>
      </c>
      <c r="S14" s="77">
        <f t="shared" si="0"/>
        <v>0</v>
      </c>
      <c r="T14" s="327" t="e">
        <f t="shared" si="1"/>
        <v>#DIV/0!</v>
      </c>
      <c r="U14" s="124">
        <v>123</v>
      </c>
      <c r="V14" s="89">
        <f>U14-D14</f>
        <v>123</v>
      </c>
      <c r="W14" s="385"/>
      <c r="X14" s="387">
        <f t="shared" si="4"/>
        <v>0</v>
      </c>
      <c r="Y14" s="77">
        <v>123</v>
      </c>
      <c r="Z14" s="390">
        <f>Y14-X14</f>
        <v>123</v>
      </c>
      <c r="AA14" s="323">
        <f>Z14/Y14</f>
        <v>1</v>
      </c>
    </row>
    <row r="15" spans="1:27" ht="12.75">
      <c r="A15" s="468" t="s">
        <v>83</v>
      </c>
      <c r="B15" s="410"/>
      <c r="C15" s="418"/>
      <c r="D15" s="409">
        <f aca="true" t="shared" si="8" ref="D15:P15">SUM(D6:D14)</f>
        <v>161056</v>
      </c>
      <c r="E15" s="125">
        <f t="shared" si="8"/>
        <v>15458</v>
      </c>
      <c r="F15" s="125">
        <f t="shared" si="8"/>
        <v>11880</v>
      </c>
      <c r="G15" s="125">
        <f t="shared" si="8"/>
        <v>12565</v>
      </c>
      <c r="H15" s="125">
        <f t="shared" si="8"/>
        <v>11483</v>
      </c>
      <c r="I15" s="125">
        <f t="shared" si="8"/>
        <v>12082</v>
      </c>
      <c r="J15" s="125">
        <f t="shared" si="8"/>
        <v>11040</v>
      </c>
      <c r="K15" s="447">
        <f t="shared" si="8"/>
        <v>11885</v>
      </c>
      <c r="L15" s="125">
        <f t="shared" si="8"/>
        <v>13718</v>
      </c>
      <c r="M15" s="125">
        <f t="shared" si="8"/>
        <v>12072</v>
      </c>
      <c r="N15" s="125">
        <f t="shared" si="8"/>
        <v>13185</v>
      </c>
      <c r="O15" s="125">
        <f t="shared" si="8"/>
        <v>12735</v>
      </c>
      <c r="P15" s="125">
        <f t="shared" si="8"/>
        <v>11378</v>
      </c>
      <c r="Q15" s="409">
        <f>SUM(Q6:Q14)</f>
        <v>11575</v>
      </c>
      <c r="R15" s="409">
        <f>SUM(R6:R14)</f>
        <v>11590</v>
      </c>
      <c r="S15" s="77">
        <f t="shared" si="0"/>
        <v>482</v>
      </c>
      <c r="T15" s="327">
        <f t="shared" si="1"/>
        <v>0.040555321834244845</v>
      </c>
      <c r="U15" s="124">
        <v>109188</v>
      </c>
      <c r="V15" s="89">
        <f>U15-D15</f>
        <v>-51868</v>
      </c>
      <c r="W15" s="385">
        <f>V15/U15</f>
        <v>-0.47503388650767486</v>
      </c>
      <c r="X15" s="387">
        <f t="shared" si="4"/>
        <v>161056</v>
      </c>
      <c r="Y15" s="77">
        <v>155289</v>
      </c>
      <c r="Z15" s="390">
        <f>Y15-X15</f>
        <v>-5767</v>
      </c>
      <c r="AA15" s="323">
        <f>Z15/Y15</f>
        <v>-0.037137208688316624</v>
      </c>
    </row>
    <row r="16" spans="1:27" ht="12.75">
      <c r="A16" s="471" t="s">
        <v>84</v>
      </c>
      <c r="B16" s="127"/>
      <c r="C16" s="419"/>
      <c r="D16" s="347">
        <f>D15+D4</f>
        <v>564428</v>
      </c>
      <c r="E16" s="126">
        <f>E15+E4</f>
        <v>57504</v>
      </c>
      <c r="F16" s="126">
        <f aca="true" t="shared" si="9" ref="F16:R16">F15+F4</f>
        <v>43377</v>
      </c>
      <c r="G16" s="383">
        <f t="shared" si="9"/>
        <v>43437</v>
      </c>
      <c r="H16" s="347">
        <f t="shared" si="9"/>
        <v>34971</v>
      </c>
      <c r="I16" s="126">
        <f t="shared" si="9"/>
        <v>39471</v>
      </c>
      <c r="J16" s="383">
        <f t="shared" si="9"/>
        <v>40858</v>
      </c>
      <c r="K16" s="347">
        <f t="shared" si="9"/>
        <v>44104</v>
      </c>
      <c r="L16" s="384">
        <f t="shared" si="9"/>
        <v>47255</v>
      </c>
      <c r="M16" s="384">
        <f t="shared" si="9"/>
        <v>44568</v>
      </c>
      <c r="N16" s="384">
        <f t="shared" si="9"/>
        <v>41884</v>
      </c>
      <c r="O16" s="384">
        <f t="shared" si="9"/>
        <v>46193</v>
      </c>
      <c r="P16" s="384">
        <f t="shared" si="9"/>
        <v>40806</v>
      </c>
      <c r="Q16" s="331">
        <f t="shared" si="9"/>
        <v>40000</v>
      </c>
      <c r="R16" s="347">
        <f t="shared" si="9"/>
        <v>46082</v>
      </c>
      <c r="S16" s="450">
        <f>M16-R16</f>
        <v>-1514</v>
      </c>
      <c r="T16" s="451">
        <f t="shared" si="1"/>
        <v>-0.03432795211318701</v>
      </c>
      <c r="U16" s="384">
        <v>403368</v>
      </c>
      <c r="V16" s="128">
        <f>U16-D16</f>
        <v>-161060</v>
      </c>
      <c r="W16" s="391">
        <f>V16/U16</f>
        <v>-0.3992879950814145</v>
      </c>
      <c r="X16" s="392">
        <f t="shared" si="4"/>
        <v>564428</v>
      </c>
      <c r="Y16" s="129">
        <v>576369</v>
      </c>
      <c r="Z16" s="388">
        <f>Y16-X16</f>
        <v>11941</v>
      </c>
      <c r="AA16" s="393">
        <f>Z16/Y16</f>
        <v>0.020717630545709433</v>
      </c>
    </row>
    <row r="17" spans="1:27" ht="12.75">
      <c r="A17" s="468" t="s">
        <v>85</v>
      </c>
      <c r="B17" s="410"/>
      <c r="C17" s="418"/>
      <c r="D17" s="329"/>
      <c r="E17" s="77"/>
      <c r="F17" s="77"/>
      <c r="G17" s="329"/>
      <c r="H17" s="325"/>
      <c r="I17" s="142"/>
      <c r="J17" s="124"/>
      <c r="K17" s="376"/>
      <c r="L17" s="382"/>
      <c r="M17" s="382"/>
      <c r="N17" s="382"/>
      <c r="O17" s="382"/>
      <c r="P17" s="382"/>
      <c r="Q17" s="329"/>
      <c r="R17" s="88"/>
      <c r="S17" s="77"/>
      <c r="T17" s="78"/>
      <c r="U17" s="124"/>
      <c r="V17" s="89"/>
      <c r="W17" s="385"/>
      <c r="X17" s="387"/>
      <c r="Y17" s="77"/>
      <c r="Z17" s="390"/>
      <c r="AA17" s="323"/>
    </row>
    <row r="18" spans="1:27" ht="12.75">
      <c r="A18" s="469" t="s">
        <v>68</v>
      </c>
      <c r="B18" s="410" t="s">
        <v>69</v>
      </c>
      <c r="C18" s="418" t="s">
        <v>86</v>
      </c>
      <c r="D18" s="382">
        <f>SUM(E18:Q18)</f>
        <v>49343</v>
      </c>
      <c r="E18" s="124">
        <v>4280</v>
      </c>
      <c r="F18" s="124">
        <v>3571</v>
      </c>
      <c r="G18" s="382">
        <v>3287</v>
      </c>
      <c r="H18" s="376">
        <v>3372</v>
      </c>
      <c r="I18" s="141">
        <v>3651</v>
      </c>
      <c r="J18" s="124">
        <v>5020</v>
      </c>
      <c r="K18" s="376">
        <v>4023</v>
      </c>
      <c r="L18" s="382">
        <v>3643</v>
      </c>
      <c r="M18" s="382">
        <v>4883</v>
      </c>
      <c r="N18" s="382">
        <v>2822</v>
      </c>
      <c r="O18" s="382">
        <v>3543</v>
      </c>
      <c r="P18" s="382">
        <v>3893</v>
      </c>
      <c r="Q18" s="329">
        <v>3355</v>
      </c>
      <c r="R18" s="88">
        <v>5316</v>
      </c>
      <c r="S18" s="77">
        <f>M18-R18</f>
        <v>-433</v>
      </c>
      <c r="T18" s="327">
        <f>S18/K18</f>
        <v>-0.10763112105393985</v>
      </c>
      <c r="U18" s="124">
        <v>37661</v>
      </c>
      <c r="V18" s="89">
        <f>U18-D18</f>
        <v>-11682</v>
      </c>
      <c r="W18" s="385">
        <f>V18/U18</f>
        <v>-0.31018825841055736</v>
      </c>
      <c r="X18" s="387">
        <f t="shared" si="4"/>
        <v>49343</v>
      </c>
      <c r="Y18" s="77">
        <v>61020</v>
      </c>
      <c r="Z18" s="390">
        <f>Y18-X18</f>
        <v>11677</v>
      </c>
      <c r="AA18" s="323">
        <f>Z18/Y18</f>
        <v>0.1913634873811865</v>
      </c>
    </row>
    <row r="19" spans="1:27" ht="12.75">
      <c r="A19" s="469"/>
      <c r="B19" s="410"/>
      <c r="C19" s="418"/>
      <c r="D19" s="382"/>
      <c r="E19" s="124"/>
      <c r="F19" s="124"/>
      <c r="G19" s="382"/>
      <c r="H19" s="376"/>
      <c r="I19" s="141"/>
      <c r="J19" s="124"/>
      <c r="K19" s="376"/>
      <c r="L19" s="382"/>
      <c r="M19" s="382"/>
      <c r="N19" s="382"/>
      <c r="O19" s="382"/>
      <c r="P19" s="382"/>
      <c r="Q19" s="329"/>
      <c r="R19" s="88"/>
      <c r="S19" s="77"/>
      <c r="T19" s="78"/>
      <c r="U19" s="124"/>
      <c r="V19" s="89"/>
      <c r="W19" s="385"/>
      <c r="X19" s="387"/>
      <c r="Y19" s="77"/>
      <c r="Z19" s="390"/>
      <c r="AA19" s="323"/>
    </row>
    <row r="20" spans="1:27" ht="12.75">
      <c r="A20" s="469" t="s">
        <v>75</v>
      </c>
      <c r="B20" s="410" t="s">
        <v>87</v>
      </c>
      <c r="C20" s="418" t="s">
        <v>88</v>
      </c>
      <c r="D20" s="382">
        <f>SUM(E20:Q20)</f>
        <v>13352</v>
      </c>
      <c r="E20" s="124">
        <v>1199</v>
      </c>
      <c r="F20" s="124">
        <v>896</v>
      </c>
      <c r="G20" s="382">
        <v>1006</v>
      </c>
      <c r="H20" s="376">
        <v>1097</v>
      </c>
      <c r="I20" s="141">
        <v>778</v>
      </c>
      <c r="J20" s="124">
        <v>1141</v>
      </c>
      <c r="K20" s="376">
        <v>1074</v>
      </c>
      <c r="L20" s="382">
        <v>1074</v>
      </c>
      <c r="M20" s="382">
        <v>1061</v>
      </c>
      <c r="N20" s="382">
        <v>1000</v>
      </c>
      <c r="O20" s="382">
        <v>1034</v>
      </c>
      <c r="P20" s="382">
        <v>1096</v>
      </c>
      <c r="Q20" s="329">
        <v>896</v>
      </c>
      <c r="R20" s="88">
        <v>889</v>
      </c>
      <c r="S20" s="77">
        <f>M20-R20</f>
        <v>172</v>
      </c>
      <c r="T20" s="327">
        <f>S20/K20</f>
        <v>0.1601489757914339</v>
      </c>
      <c r="U20" s="124">
        <v>7754</v>
      </c>
      <c r="V20" s="89">
        <f>U20-D20</f>
        <v>-5598</v>
      </c>
      <c r="W20" s="385"/>
      <c r="X20" s="387">
        <f t="shared" si="4"/>
        <v>13352</v>
      </c>
      <c r="Y20" s="77">
        <v>11063</v>
      </c>
      <c r="Z20" s="390">
        <f>Y20-X20</f>
        <v>-2289</v>
      </c>
      <c r="AA20" s="323">
        <f>Z20/Y20</f>
        <v>-0.20690590255807648</v>
      </c>
    </row>
    <row r="21" spans="1:27" ht="12.75">
      <c r="A21" s="469" t="s">
        <v>74</v>
      </c>
      <c r="B21" s="410"/>
      <c r="C21" s="418" t="s">
        <v>89</v>
      </c>
      <c r="D21" s="382">
        <f>SUM(E21:Q21)</f>
        <v>6680</v>
      </c>
      <c r="E21" s="124">
        <v>646</v>
      </c>
      <c r="F21" s="124">
        <v>584</v>
      </c>
      <c r="G21" s="382">
        <v>536</v>
      </c>
      <c r="H21" s="376">
        <v>506</v>
      </c>
      <c r="I21" s="141">
        <v>451</v>
      </c>
      <c r="J21" s="124">
        <v>400</v>
      </c>
      <c r="K21" s="376">
        <v>534</v>
      </c>
      <c r="L21" s="382">
        <v>551</v>
      </c>
      <c r="M21" s="382">
        <v>473</v>
      </c>
      <c r="N21" s="382">
        <v>575</v>
      </c>
      <c r="O21" s="382">
        <v>545</v>
      </c>
      <c r="P21" s="382">
        <v>475</v>
      </c>
      <c r="Q21" s="329">
        <v>404</v>
      </c>
      <c r="R21" s="88">
        <v>458</v>
      </c>
      <c r="S21" s="77">
        <f>M21-R21</f>
        <v>15</v>
      </c>
      <c r="T21" s="327">
        <f>S21/K21</f>
        <v>0.028089887640449437</v>
      </c>
      <c r="U21" s="124">
        <v>3494</v>
      </c>
      <c r="V21" s="89">
        <f>U21-D21</f>
        <v>-3186</v>
      </c>
      <c r="W21" s="385"/>
      <c r="X21" s="387">
        <f t="shared" si="4"/>
        <v>6680</v>
      </c>
      <c r="Y21" s="77">
        <v>5507</v>
      </c>
      <c r="Z21" s="390">
        <f>Y21-X21</f>
        <v>-1173</v>
      </c>
      <c r="AA21" s="323">
        <f>Z21/Y21</f>
        <v>-0.213001634283639</v>
      </c>
    </row>
    <row r="22" spans="1:27" ht="12.75">
      <c r="A22" s="468" t="s">
        <v>83</v>
      </c>
      <c r="B22" s="410"/>
      <c r="C22" s="418"/>
      <c r="D22" s="382">
        <f>SUM(D20:D21)</f>
        <v>20032</v>
      </c>
      <c r="E22" s="124">
        <f aca="true" t="shared" si="10" ref="E22:R22">SUM(E20:E21)</f>
        <v>1845</v>
      </c>
      <c r="F22" s="124">
        <f t="shared" si="10"/>
        <v>1480</v>
      </c>
      <c r="G22" s="124">
        <f t="shared" si="10"/>
        <v>1542</v>
      </c>
      <c r="H22" s="377">
        <f t="shared" si="10"/>
        <v>1603</v>
      </c>
      <c r="I22" s="143">
        <f t="shared" si="10"/>
        <v>1229</v>
      </c>
      <c r="J22" s="124">
        <f t="shared" si="10"/>
        <v>1541</v>
      </c>
      <c r="K22" s="376">
        <f t="shared" si="10"/>
        <v>1608</v>
      </c>
      <c r="L22" s="382">
        <f t="shared" si="10"/>
        <v>1625</v>
      </c>
      <c r="M22" s="382">
        <f t="shared" si="10"/>
        <v>1534</v>
      </c>
      <c r="N22" s="382">
        <f t="shared" si="10"/>
        <v>1575</v>
      </c>
      <c r="O22" s="382">
        <f t="shared" si="10"/>
        <v>1579</v>
      </c>
      <c r="P22" s="382">
        <f t="shared" si="10"/>
        <v>1571</v>
      </c>
      <c r="Q22" s="329">
        <f t="shared" si="10"/>
        <v>1300</v>
      </c>
      <c r="R22" s="382">
        <f t="shared" si="10"/>
        <v>1347</v>
      </c>
      <c r="S22" s="77">
        <f>M22-R22</f>
        <v>187</v>
      </c>
      <c r="T22" s="327">
        <f>S22/K22</f>
        <v>0.11629353233830846</v>
      </c>
      <c r="U22" s="124">
        <v>11248</v>
      </c>
      <c r="V22" s="89">
        <f>U22-D22</f>
        <v>-8784</v>
      </c>
      <c r="W22" s="385"/>
      <c r="X22" s="387">
        <f t="shared" si="4"/>
        <v>20032</v>
      </c>
      <c r="Y22" s="77">
        <v>16570</v>
      </c>
      <c r="Z22" s="390">
        <f>Y22-X22</f>
        <v>-3462</v>
      </c>
      <c r="AA22" s="323">
        <f>Z22/Y22</f>
        <v>-0.20893180446590223</v>
      </c>
    </row>
    <row r="23" spans="1:27" ht="12.75">
      <c r="A23" s="471" t="s">
        <v>84</v>
      </c>
      <c r="B23" s="127"/>
      <c r="C23" s="419"/>
      <c r="D23" s="384">
        <f>D22+D18</f>
        <v>69375</v>
      </c>
      <c r="E23" s="135">
        <f aca="true" t="shared" si="11" ref="E23:R23">E22+E18</f>
        <v>6125</v>
      </c>
      <c r="F23" s="135">
        <f t="shared" si="11"/>
        <v>5051</v>
      </c>
      <c r="G23" s="135">
        <f t="shared" si="11"/>
        <v>4829</v>
      </c>
      <c r="H23" s="384">
        <f t="shared" si="11"/>
        <v>4975</v>
      </c>
      <c r="I23" s="135">
        <f t="shared" si="11"/>
        <v>4880</v>
      </c>
      <c r="J23" s="135">
        <f t="shared" si="11"/>
        <v>6561</v>
      </c>
      <c r="K23" s="347">
        <f t="shared" si="11"/>
        <v>5631</v>
      </c>
      <c r="L23" s="384">
        <f t="shared" si="11"/>
        <v>5268</v>
      </c>
      <c r="M23" s="384">
        <f t="shared" si="11"/>
        <v>6417</v>
      </c>
      <c r="N23" s="384">
        <f t="shared" si="11"/>
        <v>4397</v>
      </c>
      <c r="O23" s="384">
        <f t="shared" si="11"/>
        <v>5122</v>
      </c>
      <c r="P23" s="384">
        <f t="shared" si="11"/>
        <v>5464</v>
      </c>
      <c r="Q23" s="331">
        <f t="shared" si="11"/>
        <v>4655</v>
      </c>
      <c r="R23" s="490">
        <f t="shared" si="11"/>
        <v>6663</v>
      </c>
      <c r="S23" s="135">
        <f>M23-R23</f>
        <v>-246</v>
      </c>
      <c r="T23" s="327">
        <f>S23/K23</f>
        <v>-0.04368673415023974</v>
      </c>
      <c r="U23" s="445">
        <v>48909</v>
      </c>
      <c r="V23" s="128">
        <f>U23-D23</f>
        <v>-20466</v>
      </c>
      <c r="W23" s="136">
        <f>V23/U23</f>
        <v>-0.41845059191559836</v>
      </c>
      <c r="X23" s="388">
        <f t="shared" si="4"/>
        <v>69375</v>
      </c>
      <c r="Y23" s="129">
        <v>77590</v>
      </c>
      <c r="Z23" s="388">
        <f>Y23-X23</f>
        <v>8215</v>
      </c>
      <c r="AA23" s="393">
        <f>Z23/Y23</f>
        <v>0.1058770460110839</v>
      </c>
    </row>
    <row r="24" spans="1:27" ht="12.75">
      <c r="A24" s="472" t="s">
        <v>90</v>
      </c>
      <c r="B24" s="324"/>
      <c r="C24" s="420"/>
      <c r="D24" s="378">
        <f>D23+D16</f>
        <v>633803</v>
      </c>
      <c r="E24" s="132">
        <f aca="true" t="shared" si="12" ref="E24:R24">E23+E16</f>
        <v>63629</v>
      </c>
      <c r="F24" s="132">
        <f t="shared" si="12"/>
        <v>48428</v>
      </c>
      <c r="G24" s="378">
        <f t="shared" si="12"/>
        <v>48266</v>
      </c>
      <c r="H24" s="133">
        <f t="shared" si="12"/>
        <v>39946</v>
      </c>
      <c r="I24" s="144">
        <f t="shared" si="12"/>
        <v>44351</v>
      </c>
      <c r="J24" s="132">
        <f t="shared" si="12"/>
        <v>47419</v>
      </c>
      <c r="K24" s="333">
        <f t="shared" si="12"/>
        <v>49735</v>
      </c>
      <c r="L24" s="378">
        <f t="shared" si="12"/>
        <v>52523</v>
      </c>
      <c r="M24" s="378">
        <f t="shared" si="12"/>
        <v>50985</v>
      </c>
      <c r="N24" s="378">
        <f t="shared" si="12"/>
        <v>46281</v>
      </c>
      <c r="O24" s="378">
        <f t="shared" si="12"/>
        <v>51315</v>
      </c>
      <c r="P24" s="378">
        <f t="shared" si="12"/>
        <v>46270</v>
      </c>
      <c r="Q24" s="330">
        <f t="shared" si="12"/>
        <v>44655</v>
      </c>
      <c r="R24" s="133">
        <f t="shared" si="12"/>
        <v>52745</v>
      </c>
      <c r="S24" s="132">
        <f>M24-R24</f>
        <v>-1760</v>
      </c>
      <c r="T24" s="327">
        <f>S24/K24</f>
        <v>-0.03538755403639288</v>
      </c>
      <c r="U24" s="132">
        <v>452277</v>
      </c>
      <c r="V24" s="131">
        <f>U24-D24</f>
        <v>-181526</v>
      </c>
      <c r="W24" s="386">
        <f>V24/U24</f>
        <v>-0.4013602283556316</v>
      </c>
      <c r="X24" s="394">
        <f t="shared" si="4"/>
        <v>633803</v>
      </c>
      <c r="Y24" s="134">
        <v>653959</v>
      </c>
      <c r="Z24" s="394">
        <f>Y24-X24</f>
        <v>20156</v>
      </c>
      <c r="AA24" s="395">
        <f>Z24/Y24</f>
        <v>0.030821504100409965</v>
      </c>
    </row>
    <row r="25" spans="1:27" ht="12.75">
      <c r="A25" s="468" t="s">
        <v>91</v>
      </c>
      <c r="B25" s="410"/>
      <c r="C25" s="418"/>
      <c r="D25" s="329"/>
      <c r="E25" s="77"/>
      <c r="F25" s="77"/>
      <c r="G25" s="329"/>
      <c r="H25" s="325"/>
      <c r="I25" s="142"/>
      <c r="J25" s="124"/>
      <c r="K25" s="376"/>
      <c r="L25" s="382"/>
      <c r="M25" s="382"/>
      <c r="N25" s="382"/>
      <c r="O25" s="382"/>
      <c r="P25" s="382"/>
      <c r="Q25" s="329"/>
      <c r="R25" s="88"/>
      <c r="S25" s="77"/>
      <c r="T25" s="78"/>
      <c r="U25" s="124"/>
      <c r="V25" s="89"/>
      <c r="W25" s="385"/>
      <c r="X25" s="387"/>
      <c r="Y25" s="77"/>
      <c r="Z25" s="390"/>
      <c r="AA25" s="323"/>
    </row>
    <row r="26" spans="1:27" ht="12.75">
      <c r="A26" s="468" t="s">
        <v>68</v>
      </c>
      <c r="B26" s="410" t="s">
        <v>92</v>
      </c>
      <c r="C26" s="418"/>
      <c r="D26" s="329"/>
      <c r="E26" s="77"/>
      <c r="F26" s="77"/>
      <c r="G26" s="329"/>
      <c r="H26" s="140"/>
      <c r="I26" s="141"/>
      <c r="J26" s="124"/>
      <c r="K26" s="376"/>
      <c r="L26" s="382"/>
      <c r="M26" s="382"/>
      <c r="N26" s="382"/>
      <c r="O26" s="382"/>
      <c r="P26" s="382"/>
      <c r="Q26" s="329"/>
      <c r="R26" s="88"/>
      <c r="S26" s="77"/>
      <c r="T26" s="78"/>
      <c r="U26" s="124"/>
      <c r="V26" s="89"/>
      <c r="W26" s="385"/>
      <c r="X26" s="387"/>
      <c r="Y26" s="77"/>
      <c r="Z26" s="390"/>
      <c r="AA26" s="323"/>
    </row>
    <row r="27" spans="1:27" ht="12.75">
      <c r="A27" s="469" t="s">
        <v>93</v>
      </c>
      <c r="B27" s="410"/>
      <c r="C27" s="418" t="s">
        <v>94</v>
      </c>
      <c r="D27" s="382">
        <f aca="true" t="shared" si="13" ref="D27:D32">SUM(E27:Q27)</f>
        <v>6891</v>
      </c>
      <c r="E27" s="124">
        <v>661</v>
      </c>
      <c r="F27" s="124">
        <v>527</v>
      </c>
      <c r="G27" s="382">
        <v>616</v>
      </c>
      <c r="H27" s="376">
        <v>404</v>
      </c>
      <c r="I27" s="141">
        <v>334</v>
      </c>
      <c r="J27" s="124">
        <v>546</v>
      </c>
      <c r="K27" s="376">
        <v>658</v>
      </c>
      <c r="L27" s="382">
        <v>561</v>
      </c>
      <c r="M27" s="382">
        <v>598</v>
      </c>
      <c r="N27" s="382">
        <v>631</v>
      </c>
      <c r="O27" s="382">
        <v>534</v>
      </c>
      <c r="P27" s="382">
        <v>406</v>
      </c>
      <c r="Q27" s="329">
        <v>415</v>
      </c>
      <c r="R27" s="88">
        <v>527</v>
      </c>
      <c r="S27" s="77">
        <f>M27-R27</f>
        <v>71</v>
      </c>
      <c r="T27" s="327">
        <f aca="true" t="shared" si="14" ref="T27:T33">S27/K27</f>
        <v>0.10790273556231003</v>
      </c>
      <c r="U27" s="124">
        <v>4113</v>
      </c>
      <c r="V27" s="89">
        <f aca="true" t="shared" si="15" ref="V27:V32">U27-D27</f>
        <v>-2778</v>
      </c>
      <c r="W27" s="385">
        <f aca="true" t="shared" si="16" ref="W27:W32">V27/U27</f>
        <v>-0.675419401896426</v>
      </c>
      <c r="X27" s="387">
        <f t="shared" si="4"/>
        <v>6891</v>
      </c>
      <c r="Y27" s="77">
        <v>5996</v>
      </c>
      <c r="Z27" s="390">
        <f aca="true" t="shared" si="17" ref="Z27:Z32">Y27-X27</f>
        <v>-895</v>
      </c>
      <c r="AA27" s="323">
        <f aca="true" t="shared" si="18" ref="AA27:AA32">Z27/Y27</f>
        <v>-0.14926617745163442</v>
      </c>
    </row>
    <row r="28" spans="1:27" ht="12.75">
      <c r="A28" s="469" t="s">
        <v>95</v>
      </c>
      <c r="B28" s="410"/>
      <c r="C28" s="418" t="s">
        <v>94</v>
      </c>
      <c r="D28" s="382">
        <f t="shared" si="13"/>
        <v>3876</v>
      </c>
      <c r="E28" s="124">
        <v>331</v>
      </c>
      <c r="F28" s="124">
        <v>143</v>
      </c>
      <c r="G28" s="382">
        <v>288</v>
      </c>
      <c r="H28" s="376">
        <v>303</v>
      </c>
      <c r="I28" s="141">
        <v>220</v>
      </c>
      <c r="J28" s="124">
        <v>120</v>
      </c>
      <c r="K28" s="376">
        <v>367</v>
      </c>
      <c r="L28" s="382">
        <v>243</v>
      </c>
      <c r="M28" s="382">
        <v>258</v>
      </c>
      <c r="N28" s="382">
        <v>223</v>
      </c>
      <c r="O28" s="382">
        <v>385</v>
      </c>
      <c r="P28" s="382">
        <v>762</v>
      </c>
      <c r="Q28" s="329">
        <v>233</v>
      </c>
      <c r="R28" s="88">
        <v>197</v>
      </c>
      <c r="S28" s="77">
        <f aca="true" t="shared" si="19" ref="S28:S41">M28-R28</f>
        <v>61</v>
      </c>
      <c r="T28" s="327">
        <f t="shared" si="14"/>
        <v>0.16621253405994552</v>
      </c>
      <c r="U28" s="124">
        <v>1812</v>
      </c>
      <c r="V28" s="89">
        <f t="shared" si="15"/>
        <v>-2064</v>
      </c>
      <c r="W28" s="385">
        <f t="shared" si="16"/>
        <v>-1.1390728476821192</v>
      </c>
      <c r="X28" s="387">
        <f t="shared" si="4"/>
        <v>3876</v>
      </c>
      <c r="Y28" s="77">
        <v>2373</v>
      </c>
      <c r="Z28" s="390">
        <f t="shared" si="17"/>
        <v>-1503</v>
      </c>
      <c r="AA28" s="323">
        <f t="shared" si="18"/>
        <v>-0.6333754740834386</v>
      </c>
    </row>
    <row r="29" spans="1:27" ht="12.75">
      <c r="A29" s="469" t="s">
        <v>21</v>
      </c>
      <c r="B29" s="410"/>
      <c r="C29" s="418" t="s">
        <v>94</v>
      </c>
      <c r="D29" s="382">
        <f t="shared" si="13"/>
        <v>17708</v>
      </c>
      <c r="E29" s="124">
        <v>1761</v>
      </c>
      <c r="F29" s="124">
        <v>1247</v>
      </c>
      <c r="G29" s="382">
        <v>1379</v>
      </c>
      <c r="H29" s="376">
        <v>1175</v>
      </c>
      <c r="I29" s="141">
        <v>1218</v>
      </c>
      <c r="J29" s="124">
        <v>1286</v>
      </c>
      <c r="K29" s="376">
        <v>1586</v>
      </c>
      <c r="L29" s="382">
        <v>1611</v>
      </c>
      <c r="M29" s="382">
        <v>1586</v>
      </c>
      <c r="N29" s="382">
        <v>1518</v>
      </c>
      <c r="O29" s="382">
        <v>1355</v>
      </c>
      <c r="P29" s="382">
        <v>1234</v>
      </c>
      <c r="Q29" s="329">
        <v>752</v>
      </c>
      <c r="R29" s="88">
        <v>1439</v>
      </c>
      <c r="S29" s="77">
        <f t="shared" si="19"/>
        <v>147</v>
      </c>
      <c r="T29" s="327">
        <f t="shared" si="14"/>
        <v>0.0926860025220681</v>
      </c>
      <c r="U29" s="124">
        <v>12572</v>
      </c>
      <c r="V29" s="89">
        <f t="shared" si="15"/>
        <v>-5136</v>
      </c>
      <c r="W29" s="385">
        <f t="shared" si="16"/>
        <v>-0.4085268851415845</v>
      </c>
      <c r="X29" s="387">
        <f t="shared" si="4"/>
        <v>17708</v>
      </c>
      <c r="Y29" s="77">
        <v>18791</v>
      </c>
      <c r="Z29" s="390">
        <f t="shared" si="17"/>
        <v>1083</v>
      </c>
      <c r="AA29" s="323">
        <f t="shared" si="18"/>
        <v>0.057633973710819006</v>
      </c>
    </row>
    <row r="30" spans="1:27" ht="12.75">
      <c r="A30" s="469" t="s">
        <v>96</v>
      </c>
      <c r="B30" s="410"/>
      <c r="C30" s="418" t="s">
        <v>94</v>
      </c>
      <c r="D30" s="382">
        <f t="shared" si="13"/>
        <v>1689</v>
      </c>
      <c r="E30" s="124">
        <v>158</v>
      </c>
      <c r="F30" s="124">
        <v>70</v>
      </c>
      <c r="G30" s="382">
        <v>140</v>
      </c>
      <c r="H30" s="376">
        <v>209</v>
      </c>
      <c r="I30" s="141">
        <v>150</v>
      </c>
      <c r="J30" s="124">
        <v>124</v>
      </c>
      <c r="K30" s="376">
        <v>84</v>
      </c>
      <c r="L30" s="382">
        <v>59</v>
      </c>
      <c r="M30" s="382">
        <v>124</v>
      </c>
      <c r="N30" s="382">
        <v>110</v>
      </c>
      <c r="O30" s="382">
        <v>82</v>
      </c>
      <c r="P30" s="382">
        <v>153</v>
      </c>
      <c r="Q30" s="329">
        <v>226</v>
      </c>
      <c r="R30" s="88">
        <v>192</v>
      </c>
      <c r="S30" s="77">
        <f t="shared" si="19"/>
        <v>-68</v>
      </c>
      <c r="T30" s="327">
        <f t="shared" si="14"/>
        <v>-0.8095238095238095</v>
      </c>
      <c r="U30" s="124">
        <v>1808</v>
      </c>
      <c r="V30" s="89">
        <f t="shared" si="15"/>
        <v>119</v>
      </c>
      <c r="W30" s="385">
        <f t="shared" si="16"/>
        <v>0.06581858407079647</v>
      </c>
      <c r="X30" s="387">
        <f t="shared" si="4"/>
        <v>1689</v>
      </c>
      <c r="Y30" s="77">
        <v>2446</v>
      </c>
      <c r="Z30" s="390">
        <f t="shared" si="17"/>
        <v>757</v>
      </c>
      <c r="AA30" s="323">
        <f t="shared" si="18"/>
        <v>0.3094848732624693</v>
      </c>
    </row>
    <row r="31" spans="1:27" ht="12.75">
      <c r="A31" s="469" t="s">
        <v>97</v>
      </c>
      <c r="B31" s="410"/>
      <c r="C31" s="418" t="s">
        <v>94</v>
      </c>
      <c r="D31" s="382">
        <f t="shared" si="13"/>
        <v>2905</v>
      </c>
      <c r="E31" s="124">
        <v>246</v>
      </c>
      <c r="F31" s="124">
        <v>293</v>
      </c>
      <c r="G31" s="382">
        <v>168</v>
      </c>
      <c r="H31" s="376">
        <v>174</v>
      </c>
      <c r="I31" s="141">
        <v>176</v>
      </c>
      <c r="J31" s="124">
        <v>239</v>
      </c>
      <c r="K31" s="376">
        <v>282</v>
      </c>
      <c r="L31" s="382">
        <v>190</v>
      </c>
      <c r="M31" s="382">
        <v>274</v>
      </c>
      <c r="N31" s="382">
        <v>235</v>
      </c>
      <c r="O31" s="382">
        <v>227</v>
      </c>
      <c r="P31" s="382">
        <v>213</v>
      </c>
      <c r="Q31" s="329">
        <v>188</v>
      </c>
      <c r="R31" s="88">
        <v>241</v>
      </c>
      <c r="S31" s="77">
        <f t="shared" si="19"/>
        <v>33</v>
      </c>
      <c r="T31" s="327">
        <f t="shared" si="14"/>
        <v>0.11702127659574468</v>
      </c>
      <c r="U31" s="124">
        <v>1971</v>
      </c>
      <c r="V31" s="89">
        <f t="shared" si="15"/>
        <v>-934</v>
      </c>
      <c r="W31" s="385">
        <f t="shared" si="16"/>
        <v>-0.47387113140537795</v>
      </c>
      <c r="X31" s="387">
        <f t="shared" si="4"/>
        <v>2905</v>
      </c>
      <c r="Y31" s="77">
        <v>2670</v>
      </c>
      <c r="Z31" s="390">
        <f t="shared" si="17"/>
        <v>-235</v>
      </c>
      <c r="AA31" s="323">
        <f t="shared" si="18"/>
        <v>-0.08801498127340825</v>
      </c>
    </row>
    <row r="32" spans="1:27" ht="12.75">
      <c r="A32" s="469" t="s">
        <v>42</v>
      </c>
      <c r="B32" s="410"/>
      <c r="C32" s="418" t="s">
        <v>94</v>
      </c>
      <c r="D32" s="382">
        <f t="shared" si="13"/>
        <v>4389</v>
      </c>
      <c r="E32" s="124">
        <v>619</v>
      </c>
      <c r="F32" s="124">
        <v>433</v>
      </c>
      <c r="G32" s="382">
        <v>296</v>
      </c>
      <c r="H32" s="376">
        <v>289</v>
      </c>
      <c r="I32" s="141">
        <v>289</v>
      </c>
      <c r="J32" s="124">
        <v>337</v>
      </c>
      <c r="K32" s="376">
        <v>313</v>
      </c>
      <c r="L32" s="382">
        <v>292</v>
      </c>
      <c r="M32" s="382">
        <v>302</v>
      </c>
      <c r="N32" s="382">
        <v>346</v>
      </c>
      <c r="O32" s="382">
        <v>317</v>
      </c>
      <c r="P32" s="382">
        <v>257</v>
      </c>
      <c r="Q32" s="329">
        <v>299</v>
      </c>
      <c r="R32" s="88">
        <v>383</v>
      </c>
      <c r="S32" s="77">
        <f t="shared" si="19"/>
        <v>-81</v>
      </c>
      <c r="T32" s="327">
        <f t="shared" si="14"/>
        <v>-0.25878594249201275</v>
      </c>
      <c r="U32" s="124">
        <v>3435</v>
      </c>
      <c r="V32" s="89">
        <f t="shared" si="15"/>
        <v>-954</v>
      </c>
      <c r="W32" s="385">
        <f t="shared" si="16"/>
        <v>-0.2777292576419214</v>
      </c>
      <c r="X32" s="387">
        <f t="shared" si="4"/>
        <v>4389</v>
      </c>
      <c r="Y32" s="77">
        <v>4928</v>
      </c>
      <c r="Z32" s="390">
        <f t="shared" si="17"/>
        <v>539</v>
      </c>
      <c r="AA32" s="323">
        <f t="shared" si="18"/>
        <v>0.109375</v>
      </c>
    </row>
    <row r="33" spans="1:27" ht="12.75">
      <c r="A33" s="468" t="s">
        <v>98</v>
      </c>
      <c r="B33" s="410"/>
      <c r="C33" s="418"/>
      <c r="D33" s="382">
        <f>SUM(D27:D32)</f>
        <v>37458</v>
      </c>
      <c r="E33" s="124">
        <f aca="true" t="shared" si="20" ref="E33:K33">SUM(E27:E32)</f>
        <v>3776</v>
      </c>
      <c r="F33" s="124">
        <f t="shared" si="20"/>
        <v>2713</v>
      </c>
      <c r="G33" s="124">
        <f t="shared" si="20"/>
        <v>2887</v>
      </c>
      <c r="H33" s="376">
        <f t="shared" si="20"/>
        <v>2554</v>
      </c>
      <c r="I33" s="141">
        <f t="shared" si="20"/>
        <v>2387</v>
      </c>
      <c r="J33" s="124">
        <f t="shared" si="20"/>
        <v>2652</v>
      </c>
      <c r="K33" s="376">
        <f t="shared" si="20"/>
        <v>3290</v>
      </c>
      <c r="L33" s="382">
        <f aca="true" t="shared" si="21" ref="L33:R33">SUM(L27:L32)</f>
        <v>2956</v>
      </c>
      <c r="M33" s="382">
        <f t="shared" si="21"/>
        <v>3142</v>
      </c>
      <c r="N33" s="382">
        <f t="shared" si="21"/>
        <v>3063</v>
      </c>
      <c r="O33" s="382">
        <f t="shared" si="21"/>
        <v>2900</v>
      </c>
      <c r="P33" s="382">
        <f t="shared" si="21"/>
        <v>3025</v>
      </c>
      <c r="Q33" s="382">
        <f t="shared" si="21"/>
        <v>2113</v>
      </c>
      <c r="R33" s="382">
        <f t="shared" si="21"/>
        <v>2979</v>
      </c>
      <c r="S33" s="77">
        <f t="shared" si="19"/>
        <v>163</v>
      </c>
      <c r="T33" s="327">
        <f t="shared" si="14"/>
        <v>0.049544072948328265</v>
      </c>
      <c r="U33" s="124">
        <v>25711</v>
      </c>
      <c r="V33" s="89">
        <f aca="true" t="shared" si="22" ref="V33:V41">U33-D33</f>
        <v>-11747</v>
      </c>
      <c r="W33" s="385">
        <f aca="true" t="shared" si="23" ref="W33:W41">V33/U33</f>
        <v>-0.456886157675703</v>
      </c>
      <c r="X33" s="387">
        <f t="shared" si="4"/>
        <v>37458</v>
      </c>
      <c r="Y33" s="77">
        <v>37204</v>
      </c>
      <c r="Z33" s="390">
        <f>Y33-X33</f>
        <v>-254</v>
      </c>
      <c r="AA33" s="323">
        <f>Z33/Y33</f>
        <v>-0.006827222879260295</v>
      </c>
    </row>
    <row r="34" spans="1:27" ht="12.75">
      <c r="A34" s="468" t="s">
        <v>125</v>
      </c>
      <c r="B34" s="410"/>
      <c r="C34" s="418"/>
      <c r="D34" s="382"/>
      <c r="E34" s="124"/>
      <c r="F34" s="77"/>
      <c r="G34" s="329"/>
      <c r="H34" s="140"/>
      <c r="I34" s="141"/>
      <c r="J34" s="124"/>
      <c r="K34" s="376"/>
      <c r="L34" s="382"/>
      <c r="M34" s="382"/>
      <c r="N34" s="382"/>
      <c r="O34" s="382"/>
      <c r="P34" s="382"/>
      <c r="Q34" s="329"/>
      <c r="R34" s="88"/>
      <c r="S34" s="77">
        <f t="shared" si="19"/>
        <v>0</v>
      </c>
      <c r="T34" s="78"/>
      <c r="U34" s="124"/>
      <c r="V34" s="89"/>
      <c r="W34" s="385"/>
      <c r="X34" s="387"/>
      <c r="Y34" s="77"/>
      <c r="Z34" s="390"/>
      <c r="AA34" s="323"/>
    </row>
    <row r="35" spans="1:27" ht="12.75">
      <c r="A35" s="469" t="s">
        <v>93</v>
      </c>
      <c r="B35" s="410"/>
      <c r="C35" s="418" t="s">
        <v>94</v>
      </c>
      <c r="D35" s="382">
        <f aca="true" t="shared" si="24" ref="D35:D40">SUM(E35:Q35)</f>
        <v>1854</v>
      </c>
      <c r="E35" s="124">
        <v>223</v>
      </c>
      <c r="F35" s="124">
        <v>148</v>
      </c>
      <c r="G35" s="382">
        <v>104</v>
      </c>
      <c r="H35" s="376">
        <v>143</v>
      </c>
      <c r="I35" s="141">
        <v>161</v>
      </c>
      <c r="J35" s="124">
        <v>139</v>
      </c>
      <c r="K35" s="376">
        <v>149</v>
      </c>
      <c r="L35" s="382">
        <v>162</v>
      </c>
      <c r="M35" s="382">
        <v>171</v>
      </c>
      <c r="N35" s="382">
        <v>101</v>
      </c>
      <c r="O35" s="382">
        <v>140</v>
      </c>
      <c r="P35" s="382">
        <v>110</v>
      </c>
      <c r="Q35" s="329">
        <v>103</v>
      </c>
      <c r="R35" s="88">
        <v>115</v>
      </c>
      <c r="S35" s="77">
        <f t="shared" si="19"/>
        <v>56</v>
      </c>
      <c r="T35" s="327">
        <f aca="true" t="shared" si="25" ref="T35:T42">S35/K35</f>
        <v>0.37583892617449666</v>
      </c>
      <c r="U35" s="124">
        <v>2100</v>
      </c>
      <c r="V35" s="89">
        <f t="shared" si="22"/>
        <v>246</v>
      </c>
      <c r="W35" s="385">
        <f t="shared" si="23"/>
        <v>0.11714285714285715</v>
      </c>
      <c r="X35" s="387">
        <f t="shared" si="4"/>
        <v>1854</v>
      </c>
      <c r="Y35" s="77">
        <v>2583</v>
      </c>
      <c r="Z35" s="390">
        <f aca="true" t="shared" si="26" ref="Z35:Z41">Y35-X35</f>
        <v>729</v>
      </c>
      <c r="AA35" s="323">
        <f aca="true" t="shared" si="27" ref="AA35:AA41">Z35/Y35</f>
        <v>0.28222996515679444</v>
      </c>
    </row>
    <row r="36" spans="1:27" ht="12.75">
      <c r="A36" s="469" t="s">
        <v>95</v>
      </c>
      <c r="B36" s="410"/>
      <c r="C36" s="418" t="s">
        <v>94</v>
      </c>
      <c r="D36" s="382">
        <f t="shared" si="24"/>
        <v>833</v>
      </c>
      <c r="E36" s="124">
        <v>101</v>
      </c>
      <c r="F36" s="124">
        <v>172</v>
      </c>
      <c r="G36" s="382">
        <v>20</v>
      </c>
      <c r="H36" s="376">
        <v>24</v>
      </c>
      <c r="I36" s="141">
        <v>28</v>
      </c>
      <c r="J36" s="124">
        <v>57</v>
      </c>
      <c r="K36" s="376">
        <v>83</v>
      </c>
      <c r="L36" s="382">
        <v>55</v>
      </c>
      <c r="M36" s="382">
        <v>51</v>
      </c>
      <c r="N36" s="382">
        <v>53</v>
      </c>
      <c r="O36" s="382">
        <v>52</v>
      </c>
      <c r="P36" s="382">
        <v>73</v>
      </c>
      <c r="Q36" s="329">
        <v>64</v>
      </c>
      <c r="R36" s="88">
        <v>77</v>
      </c>
      <c r="S36" s="77">
        <f t="shared" si="19"/>
        <v>-26</v>
      </c>
      <c r="T36" s="327">
        <f t="shared" si="25"/>
        <v>-0.3132530120481928</v>
      </c>
      <c r="U36" s="124">
        <v>661</v>
      </c>
      <c r="V36" s="89">
        <f t="shared" si="22"/>
        <v>-172</v>
      </c>
      <c r="W36" s="385">
        <f t="shared" si="23"/>
        <v>-0.26021180030257185</v>
      </c>
      <c r="X36" s="387">
        <f t="shared" si="4"/>
        <v>833</v>
      </c>
      <c r="Y36" s="77">
        <v>914</v>
      </c>
      <c r="Z36" s="390">
        <f t="shared" si="26"/>
        <v>81</v>
      </c>
      <c r="AA36" s="323">
        <f t="shared" si="27"/>
        <v>0.0886214442013129</v>
      </c>
    </row>
    <row r="37" spans="1:27" ht="12.75">
      <c r="A37" s="469" t="s">
        <v>21</v>
      </c>
      <c r="B37" s="410"/>
      <c r="C37" s="418" t="s">
        <v>94</v>
      </c>
      <c r="D37" s="382">
        <f t="shared" si="24"/>
        <v>1352</v>
      </c>
      <c r="E37" s="124">
        <v>92</v>
      </c>
      <c r="F37" s="124">
        <v>110</v>
      </c>
      <c r="G37" s="382">
        <v>28</v>
      </c>
      <c r="H37" s="376">
        <v>3</v>
      </c>
      <c r="I37" s="141">
        <v>54</v>
      </c>
      <c r="J37" s="124">
        <v>190</v>
      </c>
      <c r="K37" s="376">
        <v>123</v>
      </c>
      <c r="L37" s="382">
        <v>120</v>
      </c>
      <c r="M37" s="382">
        <v>14</v>
      </c>
      <c r="N37" s="382">
        <v>220</v>
      </c>
      <c r="O37" s="382">
        <v>155</v>
      </c>
      <c r="P37" s="382">
        <v>170</v>
      </c>
      <c r="Q37" s="329">
        <v>73</v>
      </c>
      <c r="R37" s="88">
        <v>73</v>
      </c>
      <c r="S37" s="77">
        <f t="shared" si="19"/>
        <v>-59</v>
      </c>
      <c r="T37" s="327">
        <f t="shared" si="25"/>
        <v>-0.4796747967479675</v>
      </c>
      <c r="U37" s="124">
        <v>243</v>
      </c>
      <c r="V37" s="89">
        <f t="shared" si="22"/>
        <v>-1109</v>
      </c>
      <c r="W37" s="385"/>
      <c r="X37" s="387">
        <f t="shared" si="4"/>
        <v>1352</v>
      </c>
      <c r="Y37" s="77">
        <v>493</v>
      </c>
      <c r="Z37" s="390">
        <f t="shared" si="26"/>
        <v>-859</v>
      </c>
      <c r="AA37" s="323">
        <f t="shared" si="27"/>
        <v>-1.7423935091277891</v>
      </c>
    </row>
    <row r="38" spans="1:27" ht="12.75">
      <c r="A38" s="469" t="s">
        <v>97</v>
      </c>
      <c r="B38" s="410"/>
      <c r="C38" s="418" t="s">
        <v>94</v>
      </c>
      <c r="D38" s="382">
        <f t="shared" si="24"/>
        <v>178</v>
      </c>
      <c r="E38" s="124">
        <v>5</v>
      </c>
      <c r="F38" s="124">
        <v>4</v>
      </c>
      <c r="G38" s="382">
        <v>11</v>
      </c>
      <c r="H38" s="376">
        <v>1</v>
      </c>
      <c r="I38" s="141">
        <v>0</v>
      </c>
      <c r="J38" s="124">
        <v>23</v>
      </c>
      <c r="K38" s="376">
        <v>3</v>
      </c>
      <c r="L38" s="382">
        <v>10</v>
      </c>
      <c r="M38" s="382">
        <v>0</v>
      </c>
      <c r="N38" s="382">
        <v>18</v>
      </c>
      <c r="O38" s="382">
        <v>39</v>
      </c>
      <c r="P38" s="382">
        <v>41</v>
      </c>
      <c r="Q38" s="329">
        <v>23</v>
      </c>
      <c r="R38" s="88">
        <v>3</v>
      </c>
      <c r="S38" s="77">
        <f t="shared" si="19"/>
        <v>-3</v>
      </c>
      <c r="T38" s="327">
        <f t="shared" si="25"/>
        <v>-1</v>
      </c>
      <c r="U38" s="124">
        <v>30</v>
      </c>
      <c r="V38" s="89">
        <f t="shared" si="22"/>
        <v>-148</v>
      </c>
      <c r="W38" s="385"/>
      <c r="X38" s="387">
        <f t="shared" si="4"/>
        <v>178</v>
      </c>
      <c r="Y38" s="77">
        <v>40</v>
      </c>
      <c r="Z38" s="390">
        <f t="shared" si="26"/>
        <v>-138</v>
      </c>
      <c r="AA38" s="323">
        <f t="shared" si="27"/>
        <v>-3.45</v>
      </c>
    </row>
    <row r="39" spans="1:27" ht="12.75">
      <c r="A39" s="469" t="s">
        <v>42</v>
      </c>
      <c r="B39" s="410"/>
      <c r="C39" s="418" t="s">
        <v>94</v>
      </c>
      <c r="D39" s="382">
        <f t="shared" si="24"/>
        <v>11492</v>
      </c>
      <c r="E39" s="124">
        <v>896</v>
      </c>
      <c r="F39" s="124">
        <v>922</v>
      </c>
      <c r="G39" s="382">
        <v>980</v>
      </c>
      <c r="H39" s="376">
        <v>618</v>
      </c>
      <c r="I39" s="141">
        <v>743</v>
      </c>
      <c r="J39" s="124">
        <v>1108</v>
      </c>
      <c r="K39" s="376">
        <v>1050</v>
      </c>
      <c r="L39" s="382">
        <v>836</v>
      </c>
      <c r="M39" s="382">
        <v>953</v>
      </c>
      <c r="N39" s="382">
        <v>505</v>
      </c>
      <c r="O39" s="382">
        <v>1113</v>
      </c>
      <c r="P39" s="382">
        <v>914</v>
      </c>
      <c r="Q39" s="329">
        <v>854</v>
      </c>
      <c r="R39" s="88">
        <v>771</v>
      </c>
      <c r="S39" s="77">
        <f t="shared" si="19"/>
        <v>182</v>
      </c>
      <c r="T39" s="327">
        <f t="shared" si="25"/>
        <v>0.17333333333333334</v>
      </c>
      <c r="U39" s="124">
        <v>4265</v>
      </c>
      <c r="V39" s="89">
        <f t="shared" si="22"/>
        <v>-7227</v>
      </c>
      <c r="W39" s="385">
        <f t="shared" si="23"/>
        <v>-1.6944900351699883</v>
      </c>
      <c r="X39" s="387">
        <f t="shared" si="4"/>
        <v>11492</v>
      </c>
      <c r="Y39" s="77">
        <v>6452</v>
      </c>
      <c r="Z39" s="390">
        <f t="shared" si="26"/>
        <v>-5040</v>
      </c>
      <c r="AA39" s="323">
        <f t="shared" si="27"/>
        <v>-0.7811531308121513</v>
      </c>
    </row>
    <row r="40" spans="1:27" ht="12.75">
      <c r="A40" s="469" t="s">
        <v>99</v>
      </c>
      <c r="B40" s="410"/>
      <c r="C40" s="418" t="s">
        <v>100</v>
      </c>
      <c r="D40" s="382">
        <f t="shared" si="24"/>
        <v>1159</v>
      </c>
      <c r="E40" s="124">
        <v>144</v>
      </c>
      <c r="F40" s="124">
        <v>73</v>
      </c>
      <c r="G40" s="382">
        <v>75</v>
      </c>
      <c r="H40" s="376">
        <v>112</v>
      </c>
      <c r="I40" s="141">
        <v>168</v>
      </c>
      <c r="J40" s="124">
        <v>86</v>
      </c>
      <c r="K40" s="376">
        <v>102</v>
      </c>
      <c r="L40" s="382">
        <v>135</v>
      </c>
      <c r="M40" s="382">
        <v>53</v>
      </c>
      <c r="N40" s="382">
        <v>38</v>
      </c>
      <c r="O40" s="382">
        <v>65</v>
      </c>
      <c r="P40" s="382">
        <v>35</v>
      </c>
      <c r="Q40" s="329">
        <v>73</v>
      </c>
      <c r="R40" s="88">
        <v>109</v>
      </c>
      <c r="S40" s="77">
        <f t="shared" si="19"/>
        <v>-56</v>
      </c>
      <c r="T40" s="327">
        <f t="shared" si="25"/>
        <v>-0.5490196078431373</v>
      </c>
      <c r="U40" s="124">
        <v>599</v>
      </c>
      <c r="V40" s="89">
        <f t="shared" si="22"/>
        <v>-560</v>
      </c>
      <c r="W40" s="385">
        <f t="shared" si="23"/>
        <v>-0.9348914858096828</v>
      </c>
      <c r="X40" s="387">
        <f t="shared" si="4"/>
        <v>1159</v>
      </c>
      <c r="Y40" s="77">
        <v>924</v>
      </c>
      <c r="Z40" s="390">
        <f t="shared" si="26"/>
        <v>-235</v>
      </c>
      <c r="AA40" s="323">
        <f t="shared" si="27"/>
        <v>-0.25432900432900435</v>
      </c>
    </row>
    <row r="41" spans="1:27" ht="12.75">
      <c r="A41" s="468" t="s">
        <v>83</v>
      </c>
      <c r="B41" s="410"/>
      <c r="C41" s="418"/>
      <c r="D41" s="382">
        <f>SUM(D35:D40)</f>
        <v>16868</v>
      </c>
      <c r="E41" s="124">
        <f aca="true" t="shared" si="28" ref="E41:K41">SUM(E35:E40)</f>
        <v>1461</v>
      </c>
      <c r="F41" s="124">
        <f t="shared" si="28"/>
        <v>1429</v>
      </c>
      <c r="G41" s="124">
        <f t="shared" si="28"/>
        <v>1218</v>
      </c>
      <c r="H41" s="377">
        <f t="shared" si="28"/>
        <v>901</v>
      </c>
      <c r="I41" s="143">
        <f t="shared" si="28"/>
        <v>1154</v>
      </c>
      <c r="J41" s="124">
        <f t="shared" si="28"/>
        <v>1603</v>
      </c>
      <c r="K41" s="376">
        <f t="shared" si="28"/>
        <v>1510</v>
      </c>
      <c r="L41" s="382">
        <f aca="true" t="shared" si="29" ref="L41:R41">SUM(L35:L40)</f>
        <v>1318</v>
      </c>
      <c r="M41" s="382">
        <f t="shared" si="29"/>
        <v>1242</v>
      </c>
      <c r="N41" s="382">
        <f t="shared" si="29"/>
        <v>935</v>
      </c>
      <c r="O41" s="382">
        <f t="shared" si="29"/>
        <v>1564</v>
      </c>
      <c r="P41" s="382">
        <f t="shared" si="29"/>
        <v>1343</v>
      </c>
      <c r="Q41" s="382">
        <f t="shared" si="29"/>
        <v>1190</v>
      </c>
      <c r="R41" s="382">
        <f t="shared" si="29"/>
        <v>1148</v>
      </c>
      <c r="S41" s="77">
        <f t="shared" si="19"/>
        <v>94</v>
      </c>
      <c r="T41" s="327">
        <f t="shared" si="25"/>
        <v>0.06225165562913907</v>
      </c>
      <c r="U41" s="124">
        <v>7898</v>
      </c>
      <c r="V41" s="89">
        <f t="shared" si="22"/>
        <v>-8970</v>
      </c>
      <c r="W41" s="385">
        <f t="shared" si="23"/>
        <v>-1.135730564699924</v>
      </c>
      <c r="X41" s="387">
        <f t="shared" si="4"/>
        <v>16868</v>
      </c>
      <c r="Y41" s="77">
        <v>11406</v>
      </c>
      <c r="Z41" s="390">
        <f t="shared" si="26"/>
        <v>-5462</v>
      </c>
      <c r="AA41" s="323">
        <f t="shared" si="27"/>
        <v>-0.47887076977029636</v>
      </c>
    </row>
    <row r="42" spans="1:27" ht="12.75">
      <c r="A42" s="472" t="s">
        <v>84</v>
      </c>
      <c r="B42" s="324"/>
      <c r="C42" s="420"/>
      <c r="D42" s="378">
        <f>D41+D33</f>
        <v>54326</v>
      </c>
      <c r="E42" s="132">
        <f aca="true" t="shared" si="30" ref="E42:R42">E41+E33</f>
        <v>5237</v>
      </c>
      <c r="F42" s="132">
        <f t="shared" si="30"/>
        <v>4142</v>
      </c>
      <c r="G42" s="132">
        <f t="shared" si="30"/>
        <v>4105</v>
      </c>
      <c r="H42" s="378">
        <f t="shared" si="30"/>
        <v>3455</v>
      </c>
      <c r="I42" s="132">
        <f t="shared" si="30"/>
        <v>3541</v>
      </c>
      <c r="J42" s="132">
        <f t="shared" si="30"/>
        <v>4255</v>
      </c>
      <c r="K42" s="333">
        <f t="shared" si="30"/>
        <v>4800</v>
      </c>
      <c r="L42" s="378">
        <f t="shared" si="30"/>
        <v>4274</v>
      </c>
      <c r="M42" s="378">
        <f t="shared" si="30"/>
        <v>4384</v>
      </c>
      <c r="N42" s="378">
        <f t="shared" si="30"/>
        <v>3998</v>
      </c>
      <c r="O42" s="378">
        <f t="shared" si="30"/>
        <v>4464</v>
      </c>
      <c r="P42" s="378">
        <f t="shared" si="30"/>
        <v>4368</v>
      </c>
      <c r="Q42" s="330">
        <f t="shared" si="30"/>
        <v>3303</v>
      </c>
      <c r="R42" s="378">
        <f t="shared" si="30"/>
        <v>4127</v>
      </c>
      <c r="S42" s="488">
        <f>M42-R42</f>
        <v>257</v>
      </c>
      <c r="T42" s="327">
        <f t="shared" si="25"/>
        <v>0.05354166666666667</v>
      </c>
      <c r="U42" s="132">
        <v>33609</v>
      </c>
      <c r="V42" s="131">
        <f>U42-D42</f>
        <v>-20717</v>
      </c>
      <c r="W42" s="386">
        <f>V42/U42</f>
        <v>-0.6164122705227766</v>
      </c>
      <c r="X42" s="394">
        <f t="shared" si="4"/>
        <v>54326</v>
      </c>
      <c r="Y42" s="134">
        <v>48610</v>
      </c>
      <c r="Z42" s="396">
        <f>Y42-X42</f>
        <v>-5716</v>
      </c>
      <c r="AA42" s="395">
        <f>Z42/Y42</f>
        <v>-0.11758897346225057</v>
      </c>
    </row>
    <row r="43" spans="1:27" ht="12.75">
      <c r="A43" s="468" t="s">
        <v>101</v>
      </c>
      <c r="B43" s="410"/>
      <c r="C43" s="418"/>
      <c r="D43" s="329"/>
      <c r="E43" s="77"/>
      <c r="F43" s="77"/>
      <c r="G43" s="329"/>
      <c r="H43" s="325"/>
      <c r="I43" s="142"/>
      <c r="J43" s="124"/>
      <c r="K43" s="376"/>
      <c r="L43" s="382"/>
      <c r="M43" s="382"/>
      <c r="N43" s="382"/>
      <c r="O43" s="382"/>
      <c r="P43" s="382"/>
      <c r="Q43" s="329"/>
      <c r="R43" s="88"/>
      <c r="S43" s="77"/>
      <c r="T43" s="78"/>
      <c r="U43" s="124"/>
      <c r="V43" s="89"/>
      <c r="W43" s="385"/>
      <c r="X43" s="387"/>
      <c r="Y43" s="77"/>
      <c r="Z43" s="390"/>
      <c r="AA43" s="323"/>
    </row>
    <row r="44" spans="1:27" ht="12.75">
      <c r="A44" s="468" t="s">
        <v>75</v>
      </c>
      <c r="B44" s="410"/>
      <c r="C44" s="418"/>
      <c r="D44" s="329"/>
      <c r="E44" s="77"/>
      <c r="F44" s="77"/>
      <c r="G44" s="329"/>
      <c r="H44" s="140"/>
      <c r="I44" s="141"/>
      <c r="J44" s="124"/>
      <c r="K44" s="376"/>
      <c r="L44" s="382"/>
      <c r="M44" s="382"/>
      <c r="N44" s="382"/>
      <c r="O44" s="382"/>
      <c r="P44" s="382"/>
      <c r="Q44" s="329"/>
      <c r="R44" s="88"/>
      <c r="S44" s="77"/>
      <c r="T44" s="78"/>
      <c r="U44" s="124"/>
      <c r="V44" s="89"/>
      <c r="W44" s="385"/>
      <c r="X44" s="387"/>
      <c r="Y44" s="77"/>
      <c r="Z44" s="390"/>
      <c r="AA44" s="323"/>
    </row>
    <row r="45" spans="1:27" ht="12.75">
      <c r="A45" s="469"/>
      <c r="B45" s="410" t="s">
        <v>42</v>
      </c>
      <c r="C45" s="418" t="s">
        <v>102</v>
      </c>
      <c r="D45" s="382">
        <f>SUM(E45:Q45)</f>
        <v>6295</v>
      </c>
      <c r="E45" s="122">
        <v>463</v>
      </c>
      <c r="F45" s="124">
        <v>592</v>
      </c>
      <c r="G45" s="382">
        <v>508</v>
      </c>
      <c r="H45" s="376">
        <v>568</v>
      </c>
      <c r="I45" s="141">
        <v>465</v>
      </c>
      <c r="J45" s="124">
        <v>465</v>
      </c>
      <c r="K45" s="376">
        <v>547</v>
      </c>
      <c r="L45" s="382">
        <v>415</v>
      </c>
      <c r="M45" s="382">
        <v>488</v>
      </c>
      <c r="N45" s="382">
        <v>479</v>
      </c>
      <c r="O45" s="382">
        <v>450</v>
      </c>
      <c r="P45" s="382">
        <v>509</v>
      </c>
      <c r="Q45" s="329">
        <v>346</v>
      </c>
      <c r="R45" s="88">
        <v>632</v>
      </c>
      <c r="S45" s="77">
        <f>M45-R45</f>
        <v>-144</v>
      </c>
      <c r="T45" s="327">
        <f>S45/K45</f>
        <v>-0.263254113345521</v>
      </c>
      <c r="U45" s="124">
        <v>5314</v>
      </c>
      <c r="V45" s="89">
        <f>U45-D45</f>
        <v>-981</v>
      </c>
      <c r="W45" s="385">
        <f>V45/U45</f>
        <v>-0.18460669928490778</v>
      </c>
      <c r="X45" s="387">
        <f t="shared" si="4"/>
        <v>6295</v>
      </c>
      <c r="Y45" s="77">
        <v>7480</v>
      </c>
      <c r="Z45" s="390">
        <f>Y45-X45</f>
        <v>1185</v>
      </c>
      <c r="AA45" s="323">
        <f>Z45/Y45</f>
        <v>0.15842245989304812</v>
      </c>
    </row>
    <row r="46" spans="1:27" ht="12.75">
      <c r="A46" s="469"/>
      <c r="B46" s="410" t="s">
        <v>43</v>
      </c>
      <c r="C46" s="418" t="s">
        <v>102</v>
      </c>
      <c r="D46" s="382">
        <f>SUM(E46:Q46)</f>
        <v>701</v>
      </c>
      <c r="E46" s="122">
        <v>72</v>
      </c>
      <c r="F46" s="124">
        <v>52</v>
      </c>
      <c r="G46" s="382">
        <v>54</v>
      </c>
      <c r="H46" s="376">
        <v>53</v>
      </c>
      <c r="I46" s="141">
        <v>58</v>
      </c>
      <c r="J46" s="124">
        <v>58</v>
      </c>
      <c r="K46" s="376">
        <v>76</v>
      </c>
      <c r="L46" s="382">
        <v>64</v>
      </c>
      <c r="M46" s="382">
        <v>48</v>
      </c>
      <c r="N46" s="382">
        <v>33</v>
      </c>
      <c r="O46" s="382">
        <v>36</v>
      </c>
      <c r="P46" s="382">
        <v>52</v>
      </c>
      <c r="Q46" s="329">
        <v>45</v>
      </c>
      <c r="R46" s="88">
        <v>54</v>
      </c>
      <c r="S46" s="77">
        <f aca="true" t="shared" si="31" ref="S46:S59">M46-R46</f>
        <v>-6</v>
      </c>
      <c r="T46" s="327">
        <f>S46/K46</f>
        <v>-0.07894736842105263</v>
      </c>
      <c r="U46" s="124">
        <v>543</v>
      </c>
      <c r="V46" s="89">
        <f>U46-D46</f>
        <v>-158</v>
      </c>
      <c r="W46" s="385">
        <f>V46/U46</f>
        <v>-0.29097605893186</v>
      </c>
      <c r="X46" s="387">
        <f t="shared" si="4"/>
        <v>701</v>
      </c>
      <c r="Y46" s="77">
        <v>769</v>
      </c>
      <c r="Z46" s="390">
        <f>Y46-X46</f>
        <v>68</v>
      </c>
      <c r="AA46" s="323">
        <f>Z46/Y46</f>
        <v>0.08842652795838751</v>
      </c>
    </row>
    <row r="47" spans="1:27" ht="12.75">
      <c r="A47" s="469"/>
      <c r="B47" s="410" t="s">
        <v>44</v>
      </c>
      <c r="C47" s="418" t="s">
        <v>102</v>
      </c>
      <c r="D47" s="382">
        <f>SUM(E47:Q47)</f>
        <v>4244</v>
      </c>
      <c r="E47" s="122">
        <v>824</v>
      </c>
      <c r="F47" s="124">
        <v>238</v>
      </c>
      <c r="G47" s="382">
        <v>247</v>
      </c>
      <c r="H47" s="376">
        <v>296</v>
      </c>
      <c r="I47" s="141">
        <v>309</v>
      </c>
      <c r="J47" s="124">
        <v>309</v>
      </c>
      <c r="K47" s="376">
        <v>397</v>
      </c>
      <c r="L47" s="382">
        <v>270</v>
      </c>
      <c r="M47" s="382">
        <v>313</v>
      </c>
      <c r="N47" s="382">
        <v>249</v>
      </c>
      <c r="O47" s="382">
        <v>273</v>
      </c>
      <c r="P47" s="382">
        <v>304</v>
      </c>
      <c r="Q47" s="329">
        <v>215</v>
      </c>
      <c r="R47" s="88">
        <v>250</v>
      </c>
      <c r="S47" s="77">
        <f t="shared" si="31"/>
        <v>63</v>
      </c>
      <c r="T47" s="327">
        <f>S47/K47</f>
        <v>0.15869017632241814</v>
      </c>
      <c r="U47" s="124">
        <v>2599</v>
      </c>
      <c r="V47" s="89">
        <f>U47-D47</f>
        <v>-1645</v>
      </c>
      <c r="W47" s="385">
        <f>V47/U47</f>
        <v>-0.632935744517122</v>
      </c>
      <c r="X47" s="387">
        <f t="shared" si="4"/>
        <v>4244</v>
      </c>
      <c r="Y47" s="77">
        <v>3555</v>
      </c>
      <c r="Z47" s="390">
        <f>Y47-X47</f>
        <v>-689</v>
      </c>
      <c r="AA47" s="323">
        <f>Z47/Y47</f>
        <v>-0.19381153305203938</v>
      </c>
    </row>
    <row r="48" spans="1:27" ht="12.75">
      <c r="A48" s="468" t="s">
        <v>83</v>
      </c>
      <c r="B48" s="410"/>
      <c r="C48" s="418"/>
      <c r="D48" s="382">
        <f>SUM(D45:D47)</f>
        <v>11240</v>
      </c>
      <c r="E48" s="122">
        <f aca="true" t="shared" si="32" ref="E48:R48">SUM(E45:E47)</f>
        <v>1359</v>
      </c>
      <c r="F48" s="124">
        <f t="shared" si="32"/>
        <v>882</v>
      </c>
      <c r="G48" s="124">
        <f t="shared" si="32"/>
        <v>809</v>
      </c>
      <c r="H48" s="376">
        <f t="shared" si="32"/>
        <v>917</v>
      </c>
      <c r="I48" s="141">
        <f t="shared" si="32"/>
        <v>832</v>
      </c>
      <c r="J48" s="124">
        <f t="shared" si="32"/>
        <v>832</v>
      </c>
      <c r="K48" s="376">
        <f t="shared" si="32"/>
        <v>1020</v>
      </c>
      <c r="L48" s="382">
        <f t="shared" si="32"/>
        <v>749</v>
      </c>
      <c r="M48" s="382">
        <f t="shared" si="32"/>
        <v>849</v>
      </c>
      <c r="N48" s="382">
        <f t="shared" si="32"/>
        <v>761</v>
      </c>
      <c r="O48" s="382">
        <f t="shared" si="32"/>
        <v>759</v>
      </c>
      <c r="P48" s="382">
        <f t="shared" si="32"/>
        <v>865</v>
      </c>
      <c r="Q48" s="329">
        <f t="shared" si="32"/>
        <v>606</v>
      </c>
      <c r="R48" s="382">
        <f t="shared" si="32"/>
        <v>936</v>
      </c>
      <c r="S48" s="77">
        <f t="shared" si="31"/>
        <v>-87</v>
      </c>
      <c r="T48" s="327">
        <f>S48/K48</f>
        <v>-0.08529411764705883</v>
      </c>
      <c r="U48" s="124">
        <v>8456</v>
      </c>
      <c r="V48" s="89">
        <f>U48-D48</f>
        <v>-2784</v>
      </c>
      <c r="W48" s="385">
        <f>V48/U48</f>
        <v>-0.32923368022705773</v>
      </c>
      <c r="X48" s="387">
        <f t="shared" si="4"/>
        <v>11240</v>
      </c>
      <c r="Y48" s="77">
        <v>11804</v>
      </c>
      <c r="Z48" s="390">
        <f>Y48-X48</f>
        <v>564</v>
      </c>
      <c r="AA48" s="323">
        <f>Z48/Y48</f>
        <v>0.04778041341917994</v>
      </c>
    </row>
    <row r="49" spans="1:27" ht="12.75">
      <c r="A49" s="468" t="s">
        <v>68</v>
      </c>
      <c r="B49" s="410"/>
      <c r="C49" s="418"/>
      <c r="D49" s="382"/>
      <c r="E49" s="122"/>
      <c r="F49" s="77"/>
      <c r="G49" s="329"/>
      <c r="H49" s="140"/>
      <c r="I49" s="141"/>
      <c r="J49" s="124"/>
      <c r="K49" s="376"/>
      <c r="L49" s="382"/>
      <c r="M49" s="382"/>
      <c r="N49" s="382"/>
      <c r="O49" s="382"/>
      <c r="P49" s="382"/>
      <c r="Q49" s="329"/>
      <c r="R49" s="88"/>
      <c r="S49" s="77">
        <f t="shared" si="31"/>
        <v>0</v>
      </c>
      <c r="T49" s="78"/>
      <c r="U49" s="124"/>
      <c r="V49" s="89"/>
      <c r="W49" s="385"/>
      <c r="X49" s="387"/>
      <c r="Y49" s="77"/>
      <c r="Z49" s="390"/>
      <c r="AA49" s="323"/>
    </row>
    <row r="50" spans="1:27" ht="12.75">
      <c r="A50" s="469"/>
      <c r="B50" s="410" t="s">
        <v>42</v>
      </c>
      <c r="C50" s="418" t="s">
        <v>102</v>
      </c>
      <c r="D50" s="382">
        <f>SUM(E50:Q50)</f>
        <v>480</v>
      </c>
      <c r="E50" s="122">
        <v>82</v>
      </c>
      <c r="F50" s="122">
        <v>4</v>
      </c>
      <c r="G50" s="382">
        <v>26</v>
      </c>
      <c r="H50" s="376">
        <v>13</v>
      </c>
      <c r="I50" s="141">
        <v>16</v>
      </c>
      <c r="J50" s="124">
        <v>27</v>
      </c>
      <c r="K50" s="376">
        <v>30</v>
      </c>
      <c r="L50" s="382">
        <v>36</v>
      </c>
      <c r="M50" s="382">
        <v>62</v>
      </c>
      <c r="N50" s="382">
        <v>103</v>
      </c>
      <c r="O50" s="382">
        <v>33</v>
      </c>
      <c r="P50" s="382">
        <v>33</v>
      </c>
      <c r="Q50" s="329">
        <v>15</v>
      </c>
      <c r="R50" s="88">
        <v>28</v>
      </c>
      <c r="S50" s="77">
        <f t="shared" si="31"/>
        <v>34</v>
      </c>
      <c r="T50" s="327">
        <f>S50/K50</f>
        <v>1.1333333333333333</v>
      </c>
      <c r="U50" s="124">
        <v>381</v>
      </c>
      <c r="V50" s="89">
        <f>U50-D50</f>
        <v>-99</v>
      </c>
      <c r="W50" s="385">
        <f>V50/U50</f>
        <v>-0.25984251968503935</v>
      </c>
      <c r="X50" s="387">
        <f t="shared" si="4"/>
        <v>480</v>
      </c>
      <c r="Y50" s="77">
        <v>533</v>
      </c>
      <c r="Z50" s="390">
        <f>Y50-X50</f>
        <v>53</v>
      </c>
      <c r="AA50" s="323">
        <f>Z50/Y50</f>
        <v>0.09943714821763602</v>
      </c>
    </row>
    <row r="51" spans="1:27" ht="12.75">
      <c r="A51" s="469"/>
      <c r="B51" s="410" t="s">
        <v>43</v>
      </c>
      <c r="C51" s="418" t="s">
        <v>102</v>
      </c>
      <c r="D51" s="382">
        <f>SUM(E51:Q51)</f>
        <v>1</v>
      </c>
      <c r="E51" s="125">
        <v>0</v>
      </c>
      <c r="F51" s="125">
        <v>1</v>
      </c>
      <c r="G51" s="382">
        <v>0</v>
      </c>
      <c r="H51" s="376">
        <v>0</v>
      </c>
      <c r="I51" s="141">
        <v>0</v>
      </c>
      <c r="J51" s="124">
        <v>0</v>
      </c>
      <c r="K51" s="376">
        <v>0</v>
      </c>
      <c r="L51" s="382">
        <v>0</v>
      </c>
      <c r="M51" s="382">
        <v>0</v>
      </c>
      <c r="N51" s="382">
        <v>0</v>
      </c>
      <c r="O51" s="382">
        <v>0</v>
      </c>
      <c r="P51" s="382">
        <v>0</v>
      </c>
      <c r="Q51" s="329">
        <v>0</v>
      </c>
      <c r="R51" s="88">
        <v>4</v>
      </c>
      <c r="S51" s="77">
        <f t="shared" si="31"/>
        <v>-4</v>
      </c>
      <c r="T51" s="327" t="e">
        <f>S51/K51</f>
        <v>#DIV/0!</v>
      </c>
      <c r="U51" s="124">
        <v>6</v>
      </c>
      <c r="V51" s="89">
        <f>U51-D51</f>
        <v>5</v>
      </c>
      <c r="W51" s="385"/>
      <c r="X51" s="387">
        <f t="shared" si="4"/>
        <v>1</v>
      </c>
      <c r="Y51" s="77">
        <v>8</v>
      </c>
      <c r="Z51" s="390">
        <f>Y51-X51</f>
        <v>7</v>
      </c>
      <c r="AA51" s="323">
        <f>Z51/Y51</f>
        <v>0.875</v>
      </c>
    </row>
    <row r="52" spans="1:27" ht="12.75">
      <c r="A52" s="469"/>
      <c r="B52" s="410" t="s">
        <v>44</v>
      </c>
      <c r="C52" s="418" t="s">
        <v>102</v>
      </c>
      <c r="D52" s="382">
        <f>SUM(E52:Q52)</f>
        <v>614</v>
      </c>
      <c r="E52" s="122">
        <v>91</v>
      </c>
      <c r="F52" s="122">
        <v>30</v>
      </c>
      <c r="G52" s="382">
        <v>29</v>
      </c>
      <c r="H52" s="376">
        <v>51</v>
      </c>
      <c r="I52" s="141">
        <v>39</v>
      </c>
      <c r="J52" s="124">
        <v>52</v>
      </c>
      <c r="K52" s="376">
        <v>32</v>
      </c>
      <c r="L52" s="382">
        <v>48</v>
      </c>
      <c r="M52" s="382">
        <v>57</v>
      </c>
      <c r="N52" s="382">
        <v>60</v>
      </c>
      <c r="O52" s="382">
        <v>28</v>
      </c>
      <c r="P52" s="382">
        <v>28</v>
      </c>
      <c r="Q52" s="329">
        <v>69</v>
      </c>
      <c r="R52" s="88">
        <v>28</v>
      </c>
      <c r="S52" s="77">
        <f t="shared" si="31"/>
        <v>29</v>
      </c>
      <c r="T52" s="327">
        <f>S52/K52</f>
        <v>0.90625</v>
      </c>
      <c r="U52" s="124">
        <v>557</v>
      </c>
      <c r="V52" s="89">
        <f>U52-D52</f>
        <v>-57</v>
      </c>
      <c r="W52" s="385">
        <f>V52/U52</f>
        <v>-0.10233393177737882</v>
      </c>
      <c r="X52" s="387">
        <f t="shared" si="4"/>
        <v>614</v>
      </c>
      <c r="Y52" s="77">
        <v>738</v>
      </c>
      <c r="Z52" s="390">
        <f>Y52-X52</f>
        <v>124</v>
      </c>
      <c r="AA52" s="323">
        <f>Z52/Y52</f>
        <v>0.16802168021680217</v>
      </c>
    </row>
    <row r="53" spans="1:27" ht="12.75">
      <c r="A53" s="468" t="s">
        <v>98</v>
      </c>
      <c r="B53" s="410"/>
      <c r="C53" s="418"/>
      <c r="D53" s="382">
        <f>SUM(D50:D52)</f>
        <v>1095</v>
      </c>
      <c r="E53" s="125">
        <f aca="true" t="shared" si="33" ref="E53:R53">SUM(E50:E52)</f>
        <v>173</v>
      </c>
      <c r="F53" s="125">
        <f t="shared" si="33"/>
        <v>35</v>
      </c>
      <c r="G53" s="124">
        <f t="shared" si="33"/>
        <v>55</v>
      </c>
      <c r="H53" s="376">
        <f t="shared" si="33"/>
        <v>64</v>
      </c>
      <c r="I53" s="141">
        <f t="shared" si="33"/>
        <v>55</v>
      </c>
      <c r="J53" s="124">
        <f t="shared" si="33"/>
        <v>79</v>
      </c>
      <c r="K53" s="376">
        <f t="shared" si="33"/>
        <v>62</v>
      </c>
      <c r="L53" s="382">
        <f t="shared" si="33"/>
        <v>84</v>
      </c>
      <c r="M53" s="382">
        <f t="shared" si="33"/>
        <v>119</v>
      </c>
      <c r="N53" s="382">
        <f t="shared" si="33"/>
        <v>163</v>
      </c>
      <c r="O53" s="382">
        <f t="shared" si="33"/>
        <v>61</v>
      </c>
      <c r="P53" s="382">
        <f t="shared" si="33"/>
        <v>61</v>
      </c>
      <c r="Q53" s="329">
        <f t="shared" si="33"/>
        <v>84</v>
      </c>
      <c r="R53" s="382">
        <f t="shared" si="33"/>
        <v>60</v>
      </c>
      <c r="S53" s="77">
        <f t="shared" si="31"/>
        <v>59</v>
      </c>
      <c r="T53" s="327">
        <f>S53/K53</f>
        <v>0.9516129032258065</v>
      </c>
      <c r="U53" s="124">
        <v>944</v>
      </c>
      <c r="V53" s="89">
        <f>U53-D53</f>
        <v>-151</v>
      </c>
      <c r="W53" s="385">
        <f>V53/U53</f>
        <v>-0.15995762711864406</v>
      </c>
      <c r="X53" s="387">
        <f t="shared" si="4"/>
        <v>1095</v>
      </c>
      <c r="Y53" s="77">
        <v>1279</v>
      </c>
      <c r="Z53" s="390">
        <f>Y53-X53</f>
        <v>184</v>
      </c>
      <c r="AA53" s="323">
        <f>Z53/Y53</f>
        <v>0.14386239249413604</v>
      </c>
    </row>
    <row r="54" spans="1:27" ht="12.75">
      <c r="A54" s="468" t="s">
        <v>103</v>
      </c>
      <c r="B54" s="410"/>
      <c r="C54" s="418"/>
      <c r="D54" s="382"/>
      <c r="E54" s="122"/>
      <c r="F54" s="122"/>
      <c r="G54" s="77"/>
      <c r="H54" s="140"/>
      <c r="I54" s="141"/>
      <c r="J54" s="124"/>
      <c r="K54" s="376"/>
      <c r="L54" s="382"/>
      <c r="M54" s="382"/>
      <c r="N54" s="382"/>
      <c r="O54" s="382"/>
      <c r="P54" s="382"/>
      <c r="Q54" s="329"/>
      <c r="R54" s="382"/>
      <c r="S54" s="77">
        <f t="shared" si="31"/>
        <v>0</v>
      </c>
      <c r="T54" s="78"/>
      <c r="U54" s="124"/>
      <c r="V54" s="89"/>
      <c r="W54" s="385"/>
      <c r="X54" s="387"/>
      <c r="Y54" s="77"/>
      <c r="Z54" s="390"/>
      <c r="AA54" s="323"/>
    </row>
    <row r="55" spans="1:27" ht="12.75">
      <c r="A55" s="468"/>
      <c r="B55" s="410" t="s">
        <v>42</v>
      </c>
      <c r="C55" s="418"/>
      <c r="D55" s="382">
        <f>SUM(E55:Q55)</f>
        <v>498</v>
      </c>
      <c r="E55" s="122">
        <v>16</v>
      </c>
      <c r="F55" s="122">
        <v>19</v>
      </c>
      <c r="G55" s="77">
        <v>13</v>
      </c>
      <c r="H55" s="140">
        <v>10</v>
      </c>
      <c r="I55" s="141">
        <v>35</v>
      </c>
      <c r="J55" s="124">
        <v>27</v>
      </c>
      <c r="K55" s="376">
        <v>27</v>
      </c>
      <c r="L55" s="382">
        <v>41</v>
      </c>
      <c r="M55" s="382">
        <v>59</v>
      </c>
      <c r="N55" s="382">
        <v>50</v>
      </c>
      <c r="O55" s="382">
        <v>56</v>
      </c>
      <c r="P55" s="382">
        <v>100</v>
      </c>
      <c r="Q55" s="329">
        <v>45</v>
      </c>
      <c r="R55" s="382">
        <v>55</v>
      </c>
      <c r="S55" s="77">
        <f t="shared" si="31"/>
        <v>4</v>
      </c>
      <c r="T55" s="327">
        <f aca="true" t="shared" si="34" ref="T55:T66">S55/K55</f>
        <v>0.14814814814814814</v>
      </c>
      <c r="U55" s="124">
        <v>88</v>
      </c>
      <c r="V55" s="89">
        <f>U57-D55</f>
        <v>-498</v>
      </c>
      <c r="W55" s="385"/>
      <c r="X55" s="387">
        <f t="shared" si="4"/>
        <v>498</v>
      </c>
      <c r="Y55" s="77">
        <v>170</v>
      </c>
      <c r="Z55" s="390">
        <f aca="true" t="shared" si="35" ref="Z55:Z60">Y55-X55</f>
        <v>-328</v>
      </c>
      <c r="AA55" s="323">
        <f aca="true" t="shared" si="36" ref="AA55:AA60">Z55/Y55</f>
        <v>-1.9294117647058824</v>
      </c>
    </row>
    <row r="56" spans="1:27" ht="12.75">
      <c r="A56" s="468"/>
      <c r="B56" s="410" t="s">
        <v>180</v>
      </c>
      <c r="C56" s="418"/>
      <c r="D56" s="382">
        <f>SUM(E56:Q56)</f>
        <v>464</v>
      </c>
      <c r="E56" s="122">
        <v>10</v>
      </c>
      <c r="F56" s="122">
        <v>15</v>
      </c>
      <c r="G56" s="77">
        <v>0</v>
      </c>
      <c r="H56" s="140">
        <v>11</v>
      </c>
      <c r="I56" s="141">
        <v>36</v>
      </c>
      <c r="J56" s="124">
        <v>30</v>
      </c>
      <c r="K56" s="376">
        <v>34</v>
      </c>
      <c r="L56" s="382">
        <v>54</v>
      </c>
      <c r="M56" s="382">
        <v>50</v>
      </c>
      <c r="N56" s="382">
        <v>42</v>
      </c>
      <c r="O56" s="382">
        <v>48</v>
      </c>
      <c r="P56" s="382">
        <v>86</v>
      </c>
      <c r="Q56" s="329">
        <v>48</v>
      </c>
      <c r="R56" s="382">
        <v>18</v>
      </c>
      <c r="S56" s="77">
        <f t="shared" si="31"/>
        <v>32</v>
      </c>
      <c r="T56" s="327">
        <f t="shared" si="34"/>
        <v>0.9411764705882353</v>
      </c>
      <c r="U56" s="124">
        <v>142</v>
      </c>
      <c r="V56" s="89">
        <f>U60-D56</f>
        <v>9166</v>
      </c>
      <c r="W56" s="385">
        <f>V56/U60</f>
        <v>0.9518172377985462</v>
      </c>
      <c r="X56" s="387">
        <f t="shared" si="4"/>
        <v>464</v>
      </c>
      <c r="Y56" s="77">
        <v>193</v>
      </c>
      <c r="Z56" s="390">
        <f t="shared" si="35"/>
        <v>-271</v>
      </c>
      <c r="AA56" s="323">
        <f t="shared" si="36"/>
        <v>-1.4041450777202074</v>
      </c>
    </row>
    <row r="57" spans="1:27" ht="12.75">
      <c r="A57" s="469"/>
      <c r="B57" s="410" t="s">
        <v>209</v>
      </c>
      <c r="C57" s="418" t="s">
        <v>102</v>
      </c>
      <c r="D57" s="382">
        <f>SUM(E57:Q57)</f>
        <v>367</v>
      </c>
      <c r="E57" s="122">
        <v>17</v>
      </c>
      <c r="F57" s="122">
        <v>22</v>
      </c>
      <c r="G57" s="77">
        <v>15</v>
      </c>
      <c r="H57" s="140">
        <v>20</v>
      </c>
      <c r="I57" s="141">
        <v>26</v>
      </c>
      <c r="J57" s="124">
        <v>17</v>
      </c>
      <c r="K57" s="376">
        <v>27</v>
      </c>
      <c r="L57" s="382">
        <v>37</v>
      </c>
      <c r="M57" s="382">
        <v>33</v>
      </c>
      <c r="N57" s="382">
        <v>26</v>
      </c>
      <c r="O57" s="382">
        <v>39</v>
      </c>
      <c r="P57" s="382">
        <v>50</v>
      </c>
      <c r="Q57" s="329">
        <v>38</v>
      </c>
      <c r="R57" s="382"/>
      <c r="S57" s="77">
        <f t="shared" si="31"/>
        <v>33</v>
      </c>
      <c r="T57" s="327">
        <f t="shared" si="34"/>
        <v>1.2222222222222223</v>
      </c>
      <c r="U57" s="124"/>
      <c r="V57" s="89">
        <f>U61-D57</f>
        <v>42872</v>
      </c>
      <c r="W57" s="385">
        <f>V57/U61</f>
        <v>0.9915122921436667</v>
      </c>
      <c r="X57" s="387">
        <f t="shared" si="4"/>
        <v>367</v>
      </c>
      <c r="Y57" s="77">
        <v>363</v>
      </c>
      <c r="Z57" s="390">
        <f t="shared" si="35"/>
        <v>-4</v>
      </c>
      <c r="AA57" s="323">
        <f t="shared" si="36"/>
        <v>-0.011019283746556474</v>
      </c>
    </row>
    <row r="58" spans="1:27" ht="12.75">
      <c r="A58" s="469"/>
      <c r="B58" s="410" t="s">
        <v>104</v>
      </c>
      <c r="C58" s="418" t="s">
        <v>102</v>
      </c>
      <c r="D58" s="382">
        <f>SUM(E58:Q58)</f>
        <v>4</v>
      </c>
      <c r="E58" s="122">
        <v>4</v>
      </c>
      <c r="F58" s="122">
        <v>0</v>
      </c>
      <c r="G58" s="122">
        <v>0</v>
      </c>
      <c r="H58" s="376">
        <v>0</v>
      </c>
      <c r="I58" s="141">
        <v>0</v>
      </c>
      <c r="J58" s="124">
        <v>0</v>
      </c>
      <c r="K58" s="376">
        <v>0</v>
      </c>
      <c r="L58" s="382">
        <v>0</v>
      </c>
      <c r="M58" s="382">
        <v>0</v>
      </c>
      <c r="N58" s="382">
        <v>0</v>
      </c>
      <c r="O58" s="382">
        <v>0</v>
      </c>
      <c r="P58" s="382"/>
      <c r="Q58" s="329"/>
      <c r="R58" s="382"/>
      <c r="S58" s="77">
        <f t="shared" si="31"/>
        <v>0</v>
      </c>
      <c r="T58" s="327" t="e">
        <f t="shared" si="34"/>
        <v>#DIV/0!</v>
      </c>
      <c r="U58" s="124"/>
      <c r="V58" s="89"/>
      <c r="W58" s="385">
        <f>V60/U62</f>
        <v>0.9999919276067776</v>
      </c>
      <c r="X58" s="387">
        <f t="shared" si="4"/>
        <v>4</v>
      </c>
      <c r="Y58" s="77">
        <v>13446</v>
      </c>
      <c r="Z58" s="390">
        <f t="shared" si="35"/>
        <v>13442</v>
      </c>
      <c r="AA58" s="323">
        <f t="shared" si="36"/>
        <v>0.9997025137587386</v>
      </c>
    </row>
    <row r="59" spans="1:27" ht="12.75">
      <c r="A59" s="468" t="s">
        <v>105</v>
      </c>
      <c r="B59" s="410"/>
      <c r="C59" s="418"/>
      <c r="D59" s="382">
        <f>SUM(D55:D58)</f>
        <v>1333</v>
      </c>
      <c r="E59" s="382">
        <f aca="true" t="shared" si="37" ref="E59:Q59">SUM(E55:E58)</f>
        <v>47</v>
      </c>
      <c r="F59" s="382">
        <f t="shared" si="37"/>
        <v>56</v>
      </c>
      <c r="G59" s="382">
        <f t="shared" si="37"/>
        <v>28</v>
      </c>
      <c r="H59" s="382">
        <f t="shared" si="37"/>
        <v>41</v>
      </c>
      <c r="I59" s="382">
        <f t="shared" si="37"/>
        <v>97</v>
      </c>
      <c r="J59" s="382">
        <f t="shared" si="37"/>
        <v>74</v>
      </c>
      <c r="K59" s="382">
        <f t="shared" si="37"/>
        <v>88</v>
      </c>
      <c r="L59" s="382">
        <f t="shared" si="37"/>
        <v>132</v>
      </c>
      <c r="M59" s="382">
        <f t="shared" si="37"/>
        <v>142</v>
      </c>
      <c r="N59" s="382">
        <f t="shared" si="37"/>
        <v>118</v>
      </c>
      <c r="O59" s="382">
        <f t="shared" si="37"/>
        <v>143</v>
      </c>
      <c r="P59" s="382">
        <f t="shared" si="37"/>
        <v>236</v>
      </c>
      <c r="Q59" s="382">
        <f t="shared" si="37"/>
        <v>131</v>
      </c>
      <c r="R59" s="382">
        <f>SUM(R55:R56)</f>
        <v>73</v>
      </c>
      <c r="S59" s="77">
        <f t="shared" si="31"/>
        <v>69</v>
      </c>
      <c r="T59" s="327">
        <f t="shared" si="34"/>
        <v>0.7840909090909091</v>
      </c>
      <c r="U59" s="124">
        <v>230</v>
      </c>
      <c r="V59" s="89"/>
      <c r="W59" s="385" t="e">
        <f>V61/U63</f>
        <v>#DIV/0!</v>
      </c>
      <c r="X59" s="387">
        <f t="shared" si="4"/>
        <v>1333</v>
      </c>
      <c r="Y59" s="77">
        <v>62056</v>
      </c>
      <c r="Z59" s="390">
        <f t="shared" si="35"/>
        <v>60723</v>
      </c>
      <c r="AA59" s="323">
        <f t="shared" si="36"/>
        <v>0.9785194018306046</v>
      </c>
    </row>
    <row r="60" spans="1:27" ht="12.75">
      <c r="A60" s="472" t="s">
        <v>106</v>
      </c>
      <c r="B60" s="324"/>
      <c r="C60" s="420"/>
      <c r="D60" s="333">
        <f>D53+D48+D59</f>
        <v>13668</v>
      </c>
      <c r="E60" s="333">
        <f aca="true" t="shared" si="38" ref="E60:Q60">E53+E48+E59</f>
        <v>1579</v>
      </c>
      <c r="F60" s="333">
        <f t="shared" si="38"/>
        <v>973</v>
      </c>
      <c r="G60" s="333">
        <f t="shared" si="38"/>
        <v>892</v>
      </c>
      <c r="H60" s="333">
        <f t="shared" si="38"/>
        <v>1022</v>
      </c>
      <c r="I60" s="333">
        <f t="shared" si="38"/>
        <v>984</v>
      </c>
      <c r="J60" s="333">
        <f t="shared" si="38"/>
        <v>985</v>
      </c>
      <c r="K60" s="333">
        <f t="shared" si="38"/>
        <v>1170</v>
      </c>
      <c r="L60" s="333">
        <f t="shared" si="38"/>
        <v>965</v>
      </c>
      <c r="M60" s="333">
        <f t="shared" si="38"/>
        <v>1110</v>
      </c>
      <c r="N60" s="333">
        <f t="shared" si="38"/>
        <v>1042</v>
      </c>
      <c r="O60" s="333">
        <f t="shared" si="38"/>
        <v>963</v>
      </c>
      <c r="P60" s="333">
        <f t="shared" si="38"/>
        <v>1162</v>
      </c>
      <c r="Q60" s="378">
        <f t="shared" si="38"/>
        <v>821</v>
      </c>
      <c r="R60" s="378">
        <f>R53+R48+R59</f>
        <v>1069</v>
      </c>
      <c r="S60" s="324">
        <f>M60-R60</f>
        <v>41</v>
      </c>
      <c r="T60" s="452">
        <f t="shared" si="34"/>
        <v>0.03504273504273504</v>
      </c>
      <c r="U60" s="130">
        <v>9630</v>
      </c>
      <c r="V60" s="324">
        <f>U62-D58</f>
        <v>495512</v>
      </c>
      <c r="W60" s="455">
        <f>V62/U64</f>
        <v>0.967582106119506</v>
      </c>
      <c r="X60" s="394">
        <f t="shared" si="4"/>
        <v>13668</v>
      </c>
      <c r="Y60" s="134">
        <v>716015</v>
      </c>
      <c r="Z60" s="396">
        <f t="shared" si="35"/>
        <v>702347</v>
      </c>
      <c r="AA60" s="395">
        <f t="shared" si="36"/>
        <v>0.9809110144340552</v>
      </c>
    </row>
    <row r="61" spans="1:27" ht="12.75">
      <c r="A61" s="471" t="s">
        <v>107</v>
      </c>
      <c r="B61" s="127"/>
      <c r="C61" s="419"/>
      <c r="D61" s="347">
        <f aca="true" t="shared" si="39" ref="D61:R61">D60+D42</f>
        <v>67994</v>
      </c>
      <c r="E61" s="347">
        <f t="shared" si="39"/>
        <v>6816</v>
      </c>
      <c r="F61" s="347">
        <f t="shared" si="39"/>
        <v>5115</v>
      </c>
      <c r="G61" s="347">
        <f t="shared" si="39"/>
        <v>4997</v>
      </c>
      <c r="H61" s="347">
        <f t="shared" si="39"/>
        <v>4477</v>
      </c>
      <c r="I61" s="347">
        <f t="shared" si="39"/>
        <v>4525</v>
      </c>
      <c r="J61" s="347">
        <f t="shared" si="39"/>
        <v>5240</v>
      </c>
      <c r="K61" s="347">
        <f t="shared" si="39"/>
        <v>5970</v>
      </c>
      <c r="L61" s="347">
        <f t="shared" si="39"/>
        <v>5239</v>
      </c>
      <c r="M61" s="347">
        <f t="shared" si="39"/>
        <v>5494</v>
      </c>
      <c r="N61" s="347">
        <f t="shared" si="39"/>
        <v>5040</v>
      </c>
      <c r="O61" s="347">
        <f t="shared" si="39"/>
        <v>5427</v>
      </c>
      <c r="P61" s="347">
        <f t="shared" si="39"/>
        <v>5530</v>
      </c>
      <c r="Q61" s="384">
        <f t="shared" si="39"/>
        <v>4124</v>
      </c>
      <c r="R61" s="484">
        <f t="shared" si="39"/>
        <v>5196</v>
      </c>
      <c r="S61" s="127">
        <f>M61-R61</f>
        <v>298</v>
      </c>
      <c r="T61" s="453">
        <f t="shared" si="34"/>
        <v>0.049916247906197656</v>
      </c>
      <c r="U61" s="126">
        <v>43239</v>
      </c>
      <c r="V61" s="127">
        <f>U63-D59</f>
        <v>-1333</v>
      </c>
      <c r="W61" s="456">
        <f>V63/U65</f>
        <v>0.8381499863129456</v>
      </c>
      <c r="X61" s="388">
        <f t="shared" si="4"/>
        <v>67994</v>
      </c>
      <c r="Y61" s="129"/>
      <c r="Z61" s="397"/>
      <c r="AA61" s="393"/>
    </row>
    <row r="62" spans="1:27" ht="13.5" thickBot="1">
      <c r="A62" s="480" t="s">
        <v>22</v>
      </c>
      <c r="B62" s="481"/>
      <c r="C62" s="482"/>
      <c r="D62" s="334">
        <f aca="true" t="shared" si="40" ref="D62:R62">D61+D24</f>
        <v>701797</v>
      </c>
      <c r="E62" s="481">
        <f t="shared" si="40"/>
        <v>70445</v>
      </c>
      <c r="F62" s="334">
        <f t="shared" si="40"/>
        <v>53543</v>
      </c>
      <c r="G62" s="332">
        <f t="shared" si="40"/>
        <v>53263</v>
      </c>
      <c r="H62" s="334">
        <f t="shared" si="40"/>
        <v>44423</v>
      </c>
      <c r="I62" s="139">
        <f t="shared" si="40"/>
        <v>48876</v>
      </c>
      <c r="J62" s="137">
        <f t="shared" si="40"/>
        <v>52659</v>
      </c>
      <c r="K62" s="334">
        <f t="shared" si="40"/>
        <v>55705</v>
      </c>
      <c r="L62" s="332">
        <f t="shared" si="40"/>
        <v>57762</v>
      </c>
      <c r="M62" s="332">
        <f t="shared" si="40"/>
        <v>56479</v>
      </c>
      <c r="N62" s="332">
        <f t="shared" si="40"/>
        <v>51321</v>
      </c>
      <c r="O62" s="332">
        <f t="shared" si="40"/>
        <v>56742</v>
      </c>
      <c r="P62" s="332">
        <f t="shared" si="40"/>
        <v>51800</v>
      </c>
      <c r="Q62" s="332">
        <f t="shared" si="40"/>
        <v>48779</v>
      </c>
      <c r="R62" s="485">
        <f t="shared" si="40"/>
        <v>57941</v>
      </c>
      <c r="S62" s="324">
        <f>M62-R62</f>
        <v>-1462</v>
      </c>
      <c r="T62" s="452">
        <f t="shared" si="34"/>
        <v>-0.02624539987433803</v>
      </c>
      <c r="U62" s="130">
        <v>495516</v>
      </c>
      <c r="V62" s="324">
        <f>U64-D60</f>
        <v>407951</v>
      </c>
      <c r="W62" s="457">
        <f>V64/U66</f>
        <v>10.496961987631433</v>
      </c>
      <c r="X62" s="389">
        <f t="shared" si="4"/>
        <v>701797</v>
      </c>
      <c r="Y62" s="389">
        <v>324796</v>
      </c>
      <c r="Z62" s="414">
        <f>Y62-X62</f>
        <v>-377001</v>
      </c>
      <c r="AA62" s="413">
        <f>Z62/Y62</f>
        <v>-1.1607316592568875</v>
      </c>
    </row>
    <row r="63" spans="1:27" ht="12.75">
      <c r="A63" s="476"/>
      <c r="B63" s="477"/>
      <c r="C63" s="478"/>
      <c r="D63" s="479"/>
      <c r="E63" s="477"/>
      <c r="F63" s="140"/>
      <c r="G63" s="329"/>
      <c r="H63" s="140"/>
      <c r="I63" s="145"/>
      <c r="J63" s="382"/>
      <c r="K63" s="376"/>
      <c r="L63" s="382"/>
      <c r="M63" s="382"/>
      <c r="N63" s="382"/>
      <c r="O63" s="382"/>
      <c r="P63" s="382"/>
      <c r="Q63" s="329"/>
      <c r="R63" s="88"/>
      <c r="S63" s="410">
        <f>SUM(S45:S60)</f>
        <v>123</v>
      </c>
      <c r="T63" s="454"/>
      <c r="U63" s="126"/>
      <c r="V63" s="127">
        <f>U65-D61</f>
        <v>352111</v>
      </c>
      <c r="W63" s="89"/>
      <c r="X63" s="89"/>
      <c r="Y63" s="114"/>
      <c r="Z63" s="89"/>
      <c r="AA63" s="140"/>
    </row>
    <row r="64" spans="1:27" ht="12.75">
      <c r="A64" s="472" t="s">
        <v>17</v>
      </c>
      <c r="B64" s="130"/>
      <c r="C64" s="144"/>
      <c r="D64" s="333">
        <f>SUM(E64:Q64)</f>
        <v>723973</v>
      </c>
      <c r="E64" s="130">
        <v>70398</v>
      </c>
      <c r="F64" s="333">
        <v>57153</v>
      </c>
      <c r="G64" s="378">
        <v>57261</v>
      </c>
      <c r="H64" s="379">
        <v>53167</v>
      </c>
      <c r="I64" s="130">
        <v>54891</v>
      </c>
      <c r="J64" s="144">
        <v>44802</v>
      </c>
      <c r="K64" s="333">
        <v>54889</v>
      </c>
      <c r="L64" s="378">
        <v>51795</v>
      </c>
      <c r="M64" s="378">
        <v>57052</v>
      </c>
      <c r="N64" s="378">
        <v>52447</v>
      </c>
      <c r="O64" s="378">
        <v>60430</v>
      </c>
      <c r="P64" s="378">
        <v>63161</v>
      </c>
      <c r="Q64" s="378">
        <v>46527</v>
      </c>
      <c r="R64" s="333">
        <v>49081</v>
      </c>
      <c r="S64" s="324">
        <f>M64-R64</f>
        <v>7971</v>
      </c>
      <c r="T64" s="452">
        <f t="shared" si="34"/>
        <v>0.14522035380495182</v>
      </c>
      <c r="U64" s="130">
        <v>421619</v>
      </c>
      <c r="V64" s="324">
        <f>U66-D62</f>
        <v>-775694</v>
      </c>
      <c r="W64" s="89"/>
      <c r="X64" s="89">
        <v>603793</v>
      </c>
      <c r="Y64" s="329">
        <v>-55837</v>
      </c>
      <c r="Z64" s="89"/>
      <c r="AA64" s="140"/>
    </row>
    <row r="65" spans="1:27" ht="12.75">
      <c r="A65" s="473"/>
      <c r="B65" s="424"/>
      <c r="C65" s="418"/>
      <c r="D65" s="415"/>
      <c r="E65" s="410"/>
      <c r="F65" s="140"/>
      <c r="G65" s="329"/>
      <c r="H65" s="164"/>
      <c r="I65" s="163"/>
      <c r="J65" s="382"/>
      <c r="K65" s="376"/>
      <c r="L65" s="382"/>
      <c r="M65" s="382"/>
      <c r="N65" s="382"/>
      <c r="O65" s="382"/>
      <c r="P65" s="382"/>
      <c r="Q65" s="329"/>
      <c r="R65" s="88">
        <v>49081</v>
      </c>
      <c r="S65" s="410"/>
      <c r="T65" s="410"/>
      <c r="U65" s="409">
        <v>420105</v>
      </c>
      <c r="V65" s="89"/>
      <c r="W65" s="89"/>
      <c r="X65" s="89"/>
      <c r="Y65" s="329"/>
      <c r="Z65" s="89"/>
      <c r="AA65" s="140"/>
    </row>
    <row r="66" spans="1:27" ht="13.5" thickBot="1">
      <c r="A66" s="474" t="s">
        <v>108</v>
      </c>
      <c r="B66" s="411"/>
      <c r="C66" s="421"/>
      <c r="D66" s="416">
        <f>SUM(E66:Q66)</f>
        <v>22176</v>
      </c>
      <c r="E66" s="412">
        <f>E64-E62</f>
        <v>-47</v>
      </c>
      <c r="F66" s="347">
        <f aca="true" t="shared" si="41" ref="F66:R66">F64-F62</f>
        <v>3610</v>
      </c>
      <c r="G66" s="384">
        <f t="shared" si="41"/>
        <v>3998</v>
      </c>
      <c r="H66" s="380">
        <f t="shared" si="41"/>
        <v>8744</v>
      </c>
      <c r="I66" s="126">
        <f t="shared" si="41"/>
        <v>6015</v>
      </c>
      <c r="J66" s="383">
        <f t="shared" si="41"/>
        <v>-7857</v>
      </c>
      <c r="K66" s="347">
        <f t="shared" si="41"/>
        <v>-816</v>
      </c>
      <c r="L66" s="384">
        <f t="shared" si="41"/>
        <v>-5967</v>
      </c>
      <c r="M66" s="475">
        <f t="shared" si="41"/>
        <v>573</v>
      </c>
      <c r="N66" s="384">
        <f t="shared" si="41"/>
        <v>1126</v>
      </c>
      <c r="O66" s="384">
        <f t="shared" si="41"/>
        <v>3688</v>
      </c>
      <c r="P66" s="384">
        <f t="shared" si="41"/>
        <v>11361</v>
      </c>
      <c r="Q66" s="331">
        <f t="shared" si="41"/>
        <v>-2252</v>
      </c>
      <c r="R66" s="347">
        <f t="shared" si="41"/>
        <v>-8860</v>
      </c>
      <c r="S66" s="127">
        <f>M66-R66</f>
        <v>9433</v>
      </c>
      <c r="T66" s="449">
        <f t="shared" si="34"/>
        <v>-11.560049019607844</v>
      </c>
      <c r="U66" s="378">
        <v>-73897</v>
      </c>
      <c r="V66" s="89"/>
      <c r="W66" s="89"/>
      <c r="X66" s="90">
        <f>X64-X62</f>
        <v>-98004</v>
      </c>
      <c r="Y66" s="443">
        <f>Y64-Y62</f>
        <v>-380633</v>
      </c>
      <c r="Z66" s="89"/>
      <c r="AA66" s="140"/>
    </row>
    <row r="67" spans="1:27" ht="12.75">
      <c r="A67" s="381" t="s">
        <v>4</v>
      </c>
      <c r="B67" s="89"/>
      <c r="C67" s="89"/>
      <c r="D67" s="326">
        <f>D66/D64</f>
        <v>0.030630976569568202</v>
      </c>
      <c r="E67" s="423">
        <f>E66/E64</f>
        <v>-0.0006676326031989545</v>
      </c>
      <c r="F67" s="425">
        <f aca="true" t="shared" si="42" ref="F67:R67">F66/F64</f>
        <v>0.06316378842755412</v>
      </c>
      <c r="G67" s="425">
        <f t="shared" si="42"/>
        <v>0.06982064581477794</v>
      </c>
      <c r="H67" s="326">
        <f t="shared" si="42"/>
        <v>0.16446291872778226</v>
      </c>
      <c r="I67" s="326">
        <f t="shared" si="42"/>
        <v>0.10958080559654589</v>
      </c>
      <c r="J67" s="446">
        <f t="shared" si="42"/>
        <v>-0.17537163519485738</v>
      </c>
      <c r="K67" s="448">
        <f t="shared" si="42"/>
        <v>-0.014866366667273952</v>
      </c>
      <c r="L67" s="446">
        <f t="shared" si="42"/>
        <v>-0.11520417028670721</v>
      </c>
      <c r="M67" s="446">
        <f t="shared" si="42"/>
        <v>0.010043469115894273</v>
      </c>
      <c r="N67" s="446">
        <f t="shared" si="42"/>
        <v>0.021469292809884265</v>
      </c>
      <c r="O67" s="491">
        <f t="shared" si="42"/>
        <v>0.06102929008770478</v>
      </c>
      <c r="P67" s="446">
        <f t="shared" si="42"/>
        <v>0.1798736562119029</v>
      </c>
      <c r="Q67" s="492">
        <f t="shared" si="42"/>
        <v>-0.048402003137962904</v>
      </c>
      <c r="R67" s="326">
        <f t="shared" si="42"/>
        <v>-0.1805179193577963</v>
      </c>
      <c r="S67" s="89"/>
      <c r="T67" s="89"/>
      <c r="U67" s="382"/>
      <c r="V67" s="89"/>
      <c r="W67" s="89"/>
      <c r="X67" s="89"/>
      <c r="Y67" s="329"/>
      <c r="Z67" s="89"/>
      <c r="AA67" s="140"/>
    </row>
    <row r="68" spans="1:27" ht="12.75">
      <c r="A68" s="369"/>
      <c r="B68" s="89"/>
      <c r="C68" s="89"/>
      <c r="D68" s="89"/>
      <c r="E68" s="89"/>
      <c r="F68" s="89"/>
      <c r="G68" s="89"/>
      <c r="H68" s="89"/>
      <c r="I68" s="89"/>
      <c r="J68" s="382"/>
      <c r="K68" s="376"/>
      <c r="L68" s="382"/>
      <c r="M68" s="382"/>
      <c r="N68" s="382"/>
      <c r="O68" s="382"/>
      <c r="P68" s="382"/>
      <c r="Q68" s="329"/>
      <c r="R68" s="88"/>
      <c r="S68" s="89"/>
      <c r="T68" s="89"/>
      <c r="U68" s="384"/>
      <c r="V68" s="89"/>
      <c r="W68" s="89"/>
      <c r="X68" s="89"/>
      <c r="Y68" s="329"/>
      <c r="Z68" s="89"/>
      <c r="AA68" s="140"/>
    </row>
    <row r="69" spans="1:27" ht="13.5" thickBot="1">
      <c r="A69" s="369" t="s">
        <v>109</v>
      </c>
      <c r="B69" s="89"/>
      <c r="C69" s="89"/>
      <c r="D69" s="328">
        <v>365</v>
      </c>
      <c r="E69" s="89"/>
      <c r="F69" s="89"/>
      <c r="G69" s="89"/>
      <c r="H69" s="89"/>
      <c r="I69" s="89"/>
      <c r="J69" s="382"/>
      <c r="K69" s="376"/>
      <c r="L69" s="382"/>
      <c r="M69" s="382"/>
      <c r="N69" s="382"/>
      <c r="O69" s="382"/>
      <c r="P69" s="382"/>
      <c r="Q69" s="329"/>
      <c r="R69" s="88"/>
      <c r="S69" s="89"/>
      <c r="T69" s="89"/>
      <c r="U69" s="444"/>
      <c r="V69" s="89"/>
      <c r="W69" s="89"/>
      <c r="X69" s="89"/>
      <c r="Y69" s="329"/>
      <c r="Z69" s="89"/>
      <c r="AA69" s="140"/>
    </row>
    <row r="70" spans="1:27" ht="12.75">
      <c r="A70" s="369"/>
      <c r="B70" s="89"/>
      <c r="C70" s="89"/>
      <c r="D70" s="89"/>
      <c r="E70" s="89"/>
      <c r="F70" s="89"/>
      <c r="G70" s="89"/>
      <c r="H70" s="89"/>
      <c r="I70" s="89"/>
      <c r="J70" s="382"/>
      <c r="K70" s="376"/>
      <c r="L70" s="382"/>
      <c r="M70" s="382"/>
      <c r="N70" s="382"/>
      <c r="O70" s="382"/>
      <c r="P70" s="382"/>
      <c r="Q70" s="329"/>
      <c r="R70" s="88"/>
      <c r="S70" s="89"/>
      <c r="T70" s="89"/>
      <c r="U70" s="4"/>
      <c r="V70" s="89"/>
      <c r="W70" s="89"/>
      <c r="X70" s="89"/>
      <c r="Y70" s="329"/>
      <c r="Z70" s="89"/>
      <c r="AA70" s="140"/>
    </row>
    <row r="71" spans="1:27" ht="12.75">
      <c r="A71" s="369"/>
      <c r="B71" s="89"/>
      <c r="C71" s="89"/>
      <c r="D71" s="89"/>
      <c r="E71" s="89"/>
      <c r="F71" s="89"/>
      <c r="G71" s="89"/>
      <c r="H71" s="89"/>
      <c r="I71" s="89"/>
      <c r="J71" s="382"/>
      <c r="K71" s="376"/>
      <c r="L71" s="382"/>
      <c r="M71" s="382"/>
      <c r="N71" s="382"/>
      <c r="O71" s="382"/>
      <c r="P71" s="382"/>
      <c r="Q71" s="329"/>
      <c r="R71" s="88"/>
      <c r="S71" s="89"/>
      <c r="T71" s="89"/>
      <c r="U71" s="89"/>
      <c r="V71" s="89"/>
      <c r="W71" s="89"/>
      <c r="X71" s="89"/>
      <c r="Y71" s="329"/>
      <c r="Z71" s="89"/>
      <c r="AA71" s="140"/>
    </row>
    <row r="72" spans="1:27" ht="24.75" customHeight="1">
      <c r="A72" s="369" t="s">
        <v>179</v>
      </c>
      <c r="B72" s="322"/>
      <c r="C72" s="322"/>
      <c r="D72" s="322"/>
      <c r="E72" s="89"/>
      <c r="F72" s="89"/>
      <c r="G72" s="89"/>
      <c r="H72" s="89"/>
      <c r="I72" s="89"/>
      <c r="J72" s="382"/>
      <c r="K72" s="376"/>
      <c r="L72" s="382"/>
      <c r="M72" s="382"/>
      <c r="N72" s="382"/>
      <c r="O72" s="382"/>
      <c r="P72" s="382"/>
      <c r="Q72" s="329"/>
      <c r="R72" s="88"/>
      <c r="S72" s="89"/>
      <c r="T72" s="89"/>
      <c r="U72" s="89"/>
      <c r="V72" s="89"/>
      <c r="W72" s="89"/>
      <c r="X72" s="89"/>
      <c r="Y72" s="329"/>
      <c r="Z72" s="89"/>
      <c r="AA72" s="140"/>
    </row>
    <row r="73" spans="1:27" ht="25.5" customHeight="1">
      <c r="A73" s="369" t="s">
        <v>131</v>
      </c>
      <c r="B73" s="164"/>
      <c r="C73" s="164"/>
      <c r="D73" s="164"/>
      <c r="E73" s="89"/>
      <c r="F73" s="89"/>
      <c r="G73" s="89"/>
      <c r="H73" s="89"/>
      <c r="I73" s="89"/>
      <c r="J73" s="382"/>
      <c r="K73" s="376"/>
      <c r="L73" s="382"/>
      <c r="M73" s="382"/>
      <c r="N73" s="382"/>
      <c r="O73" s="382"/>
      <c r="P73" s="382"/>
      <c r="Q73" s="329"/>
      <c r="R73" s="88"/>
      <c r="S73" s="89"/>
      <c r="T73" s="89"/>
      <c r="U73" s="89"/>
      <c r="V73" s="89"/>
      <c r="W73" s="89"/>
      <c r="X73" s="89"/>
      <c r="Y73" s="329"/>
      <c r="Z73" s="89"/>
      <c r="AA73" s="140"/>
    </row>
    <row r="74" spans="1:27" ht="12.75">
      <c r="A74" s="369"/>
      <c r="B74" s="89"/>
      <c r="C74" s="89"/>
      <c r="D74" s="89"/>
      <c r="E74" s="89"/>
      <c r="F74" s="89"/>
      <c r="G74" s="89"/>
      <c r="H74" s="89"/>
      <c r="I74" s="89"/>
      <c r="J74" s="382"/>
      <c r="K74" s="376"/>
      <c r="L74" s="382"/>
      <c r="M74" s="382"/>
      <c r="N74" s="382"/>
      <c r="O74" s="382"/>
      <c r="P74" s="382"/>
      <c r="Q74" s="329"/>
      <c r="R74" s="88"/>
      <c r="S74" s="89"/>
      <c r="T74" s="89"/>
      <c r="U74" s="89"/>
      <c r="V74" s="89"/>
      <c r="W74" s="89"/>
      <c r="X74" s="89"/>
      <c r="Y74" s="329"/>
      <c r="Z74" s="89"/>
      <c r="AA74" s="140"/>
    </row>
    <row r="75" spans="1:27" ht="12.75" hidden="1">
      <c r="A75" s="369"/>
      <c r="B75" s="89"/>
      <c r="C75" s="89"/>
      <c r="D75" s="89"/>
      <c r="E75" s="89"/>
      <c r="F75" s="89"/>
      <c r="G75" s="89"/>
      <c r="H75" s="89"/>
      <c r="I75" s="89"/>
      <c r="J75" s="382"/>
      <c r="K75" s="376"/>
      <c r="L75" s="382"/>
      <c r="M75" s="382"/>
      <c r="N75" s="382"/>
      <c r="O75" s="382"/>
      <c r="P75" s="382"/>
      <c r="Q75" s="329"/>
      <c r="R75" s="88"/>
      <c r="S75" s="89"/>
      <c r="T75" s="89"/>
      <c r="U75" s="89"/>
      <c r="V75" s="89"/>
      <c r="W75" s="89"/>
      <c r="X75" s="89"/>
      <c r="Y75" s="329"/>
      <c r="Z75" s="89"/>
      <c r="AA75" s="140"/>
    </row>
    <row r="76" spans="1:27" ht="13.5" thickBot="1">
      <c r="A76" s="81"/>
      <c r="B76" s="115"/>
      <c r="C76" s="115"/>
      <c r="D76" s="115"/>
      <c r="E76" s="115"/>
      <c r="F76" s="115"/>
      <c r="G76" s="115"/>
      <c r="H76" s="115"/>
      <c r="I76" s="115"/>
      <c r="J76" s="459"/>
      <c r="K76" s="460"/>
      <c r="L76" s="459"/>
      <c r="M76" s="459"/>
      <c r="N76" s="459"/>
      <c r="O76" s="459"/>
      <c r="P76" s="459"/>
      <c r="Q76" s="290"/>
      <c r="R76" s="486"/>
      <c r="S76" s="115"/>
      <c r="T76" s="115"/>
      <c r="U76" s="89"/>
      <c r="V76" s="89"/>
      <c r="W76" s="115"/>
      <c r="X76" s="115"/>
      <c r="Y76" s="290"/>
      <c r="Z76" s="115"/>
      <c r="AA76" s="422"/>
    </row>
    <row r="77" spans="21:22" ht="12.75">
      <c r="U77" s="89"/>
      <c r="V77" s="89"/>
    </row>
    <row r="78" spans="21:22" ht="13.5" thickBot="1">
      <c r="U78" s="322"/>
      <c r="V78" s="115"/>
    </row>
  </sheetData>
  <sheetProtection/>
  <printOptions horizontalCentered="1"/>
  <pageMargins left="0.34" right="0.32" top="0.3937007874015748" bottom="0.3937007874015748" header="0.43" footer="0.42"/>
  <pageSetup horizontalDpi="600" verticalDpi="6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49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1.00390625" style="0" customWidth="1"/>
    <col min="2" max="2" width="5.00390625" style="0" customWidth="1"/>
    <col min="3" max="3" width="10.140625" style="0" customWidth="1"/>
    <col min="4" max="6" width="9.7109375" style="0" customWidth="1"/>
    <col min="7" max="7" width="15.8515625" style="0" customWidth="1"/>
    <col min="8" max="10" width="9.7109375" style="0" customWidth="1"/>
    <col min="12" max="12" width="21.00390625" style="0" customWidth="1"/>
    <col min="13" max="13" width="5.00390625" style="0" customWidth="1"/>
    <col min="14" max="14" width="10.140625" style="0" customWidth="1"/>
    <col min="15" max="17" width="9.7109375" style="0" customWidth="1"/>
    <col min="18" max="18" width="15.7109375" style="0" customWidth="1"/>
    <col min="19" max="21" width="9.7109375" style="0" customWidth="1"/>
    <col min="23" max="23" width="21.00390625" style="0" customWidth="1"/>
    <col min="24" max="24" width="5.00390625" style="0" customWidth="1"/>
    <col min="25" max="25" width="10.140625" style="0" customWidth="1"/>
    <col min="26" max="28" width="9.7109375" style="0" customWidth="1"/>
    <col min="29" max="29" width="15.7109375" style="0" customWidth="1"/>
    <col min="30" max="32" width="9.7109375" style="0" customWidth="1"/>
    <col min="34" max="34" width="21.00390625" style="0" customWidth="1"/>
    <col min="35" max="35" width="5.00390625" style="0" bestFit="1" customWidth="1"/>
    <col min="36" max="36" width="10.140625" style="0" customWidth="1"/>
    <col min="37" max="39" width="9.7109375" style="0" customWidth="1"/>
    <col min="40" max="40" width="15.7109375" style="0" customWidth="1"/>
    <col min="41" max="43" width="9.7109375" style="0" customWidth="1"/>
    <col min="45" max="45" width="21.00390625" style="0" customWidth="1"/>
    <col min="46" max="46" width="5.00390625" style="0" customWidth="1"/>
    <col min="47" max="47" width="10.140625" style="0" customWidth="1"/>
    <col min="48" max="50" width="9.7109375" style="0" customWidth="1"/>
    <col min="51" max="51" width="15.7109375" style="0" customWidth="1"/>
    <col min="52" max="54" width="9.7109375" style="0" customWidth="1"/>
    <col min="56" max="56" width="21.00390625" style="0" customWidth="1"/>
    <col min="57" max="57" width="5.00390625" style="0" bestFit="1" customWidth="1"/>
    <col min="58" max="58" width="10.140625" style="0" customWidth="1"/>
    <col min="59" max="61" width="9.7109375" style="0" customWidth="1"/>
    <col min="62" max="62" width="15.7109375" style="0" customWidth="1"/>
    <col min="63" max="65" width="9.7109375" style="0" customWidth="1"/>
    <col min="67" max="67" width="21.00390625" style="0" customWidth="1"/>
    <col min="68" max="68" width="5.00390625" style="0" bestFit="1" customWidth="1"/>
    <col min="69" max="69" width="10.140625" style="0" customWidth="1"/>
    <col min="70" max="72" width="9.7109375" style="0" customWidth="1"/>
    <col min="73" max="73" width="15.57421875" style="0" customWidth="1"/>
    <col min="74" max="76" width="9.7109375" style="0" customWidth="1"/>
    <col min="78" max="78" width="21.00390625" style="0" customWidth="1"/>
    <col min="79" max="79" width="5.00390625" style="0" bestFit="1" customWidth="1"/>
    <col min="80" max="80" width="10.140625" style="0" customWidth="1"/>
    <col min="81" max="83" width="9.7109375" style="0" customWidth="1"/>
    <col min="84" max="84" width="15.7109375" style="0" customWidth="1"/>
    <col min="85" max="87" width="9.7109375" style="0" customWidth="1"/>
    <col min="89" max="89" width="21.00390625" style="0" customWidth="1"/>
    <col min="90" max="90" width="5.00390625" style="0" bestFit="1" customWidth="1"/>
    <col min="91" max="91" width="10.140625" style="0" customWidth="1"/>
    <col min="92" max="94" width="9.7109375" style="0" customWidth="1"/>
    <col min="95" max="95" width="15.7109375" style="0" customWidth="1"/>
    <col min="96" max="98" width="9.7109375" style="0" customWidth="1"/>
    <col min="100" max="100" width="21.00390625" style="0" customWidth="1"/>
    <col min="101" max="101" width="5.00390625" style="0" bestFit="1" customWidth="1"/>
    <col min="102" max="102" width="10.140625" style="0" customWidth="1"/>
    <col min="103" max="105" width="9.7109375" style="0" customWidth="1"/>
    <col min="106" max="106" width="15.7109375" style="0" customWidth="1"/>
    <col min="107" max="109" width="9.7109375" style="0" customWidth="1"/>
    <col min="111" max="111" width="21.140625" style="0" customWidth="1"/>
    <col min="112" max="112" width="5.00390625" style="0" bestFit="1" customWidth="1"/>
    <col min="113" max="113" width="10.140625" style="0" customWidth="1"/>
    <col min="114" max="116" width="9.7109375" style="0" customWidth="1"/>
    <col min="117" max="117" width="15.7109375" style="0" customWidth="1"/>
    <col min="118" max="119" width="9.7109375" style="0" customWidth="1"/>
    <col min="120" max="120" width="9.57421875" style="0" customWidth="1"/>
    <col min="122" max="122" width="21.00390625" style="0" customWidth="1"/>
    <col min="123" max="123" width="5.00390625" style="0" bestFit="1" customWidth="1"/>
    <col min="124" max="124" width="10.140625" style="0" customWidth="1"/>
    <col min="125" max="127" width="9.7109375" style="0" customWidth="1"/>
    <col min="128" max="128" width="15.7109375" style="0" customWidth="1"/>
    <col min="129" max="131" width="9.7109375" style="0" customWidth="1"/>
    <col min="133" max="133" width="21.00390625" style="0" customWidth="1"/>
    <col min="134" max="134" width="5.00390625" style="0" bestFit="1" customWidth="1"/>
    <col min="135" max="135" width="10.140625" style="0" customWidth="1"/>
    <col min="136" max="138" width="9.7109375" style="0" customWidth="1"/>
    <col min="139" max="139" width="15.7109375" style="0" customWidth="1"/>
    <col min="140" max="142" width="9.7109375" style="0" customWidth="1"/>
  </cols>
  <sheetData>
    <row r="1" spans="1:143" ht="12.75">
      <c r="A1" s="495" t="s">
        <v>164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 t="s">
        <v>164</v>
      </c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 t="s">
        <v>164</v>
      </c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 t="s">
        <v>164</v>
      </c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 t="s">
        <v>164</v>
      </c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 t="s">
        <v>164</v>
      </c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 t="s">
        <v>164</v>
      </c>
      <c r="BP1" s="495"/>
      <c r="BQ1" s="495"/>
      <c r="BR1" s="495"/>
      <c r="BS1" s="495"/>
      <c r="BT1" s="495"/>
      <c r="BU1" s="495"/>
      <c r="BV1" s="495"/>
      <c r="BW1" s="495"/>
      <c r="BX1" s="495"/>
      <c r="BY1" s="495"/>
      <c r="BZ1" s="495" t="s">
        <v>164</v>
      </c>
      <c r="CA1" s="495"/>
      <c r="CB1" s="495"/>
      <c r="CC1" s="495"/>
      <c r="CD1" s="495"/>
      <c r="CE1" s="495"/>
      <c r="CF1" s="495"/>
      <c r="CG1" s="495"/>
      <c r="CH1" s="495"/>
      <c r="CI1" s="495"/>
      <c r="CJ1" s="495"/>
      <c r="CK1" s="495" t="s">
        <v>164</v>
      </c>
      <c r="CL1" s="495"/>
      <c r="CM1" s="495"/>
      <c r="CN1" s="495"/>
      <c r="CO1" s="495"/>
      <c r="CP1" s="495"/>
      <c r="CQ1" s="495"/>
      <c r="CR1" s="495"/>
      <c r="CS1" s="495"/>
      <c r="CT1" s="495"/>
      <c r="CU1" s="495"/>
      <c r="CV1" s="495" t="s">
        <v>164</v>
      </c>
      <c r="CW1" s="495"/>
      <c r="CX1" s="495"/>
      <c r="CY1" s="495"/>
      <c r="CZ1" s="495"/>
      <c r="DA1" s="495"/>
      <c r="DB1" s="495"/>
      <c r="DC1" s="495"/>
      <c r="DD1" s="495"/>
      <c r="DE1" s="495"/>
      <c r="DF1" s="495"/>
      <c r="DG1" s="495" t="s">
        <v>164</v>
      </c>
      <c r="DH1" s="495"/>
      <c r="DI1" s="495"/>
      <c r="DJ1" s="495"/>
      <c r="DK1" s="495"/>
      <c r="DL1" s="495"/>
      <c r="DM1" s="495"/>
      <c r="DN1" s="495"/>
      <c r="DO1" s="495"/>
      <c r="DP1" s="495"/>
      <c r="DQ1" s="495"/>
      <c r="DR1" s="495" t="s">
        <v>164</v>
      </c>
      <c r="DS1" s="495"/>
      <c r="DT1" s="495"/>
      <c r="DU1" s="495"/>
      <c r="DV1" s="495"/>
      <c r="DW1" s="495"/>
      <c r="DX1" s="495"/>
      <c r="DY1" s="495"/>
      <c r="DZ1" s="495"/>
      <c r="EA1" s="495"/>
      <c r="EB1" s="495"/>
      <c r="EC1" s="495" t="s">
        <v>164</v>
      </c>
      <c r="ED1" s="495"/>
      <c r="EE1" s="495"/>
      <c r="EF1" s="495"/>
      <c r="EG1" s="495"/>
      <c r="EH1" s="495"/>
      <c r="EI1" s="495"/>
      <c r="EJ1" s="495"/>
      <c r="EK1" s="495"/>
      <c r="EL1" s="495"/>
      <c r="EM1" s="495"/>
    </row>
    <row r="2" spans="1:143" ht="12.75">
      <c r="A2" s="495" t="s">
        <v>181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 t="s">
        <v>183</v>
      </c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 t="s">
        <v>184</v>
      </c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 t="s">
        <v>185</v>
      </c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 t="s">
        <v>187</v>
      </c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 t="s">
        <v>188</v>
      </c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 t="s">
        <v>189</v>
      </c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 t="s">
        <v>190</v>
      </c>
      <c r="CA2" s="495"/>
      <c r="CB2" s="495"/>
      <c r="CC2" s="495"/>
      <c r="CD2" s="495"/>
      <c r="CE2" s="495"/>
      <c r="CF2" s="495"/>
      <c r="CG2" s="495"/>
      <c r="CH2" s="495"/>
      <c r="CI2" s="495"/>
      <c r="CJ2" s="495"/>
      <c r="CK2" s="495" t="s">
        <v>191</v>
      </c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 t="s">
        <v>192</v>
      </c>
      <c r="CW2" s="495"/>
      <c r="CX2" s="495"/>
      <c r="CY2" s="495"/>
      <c r="CZ2" s="495"/>
      <c r="DA2" s="495"/>
      <c r="DB2" s="495"/>
      <c r="DC2" s="495"/>
      <c r="DD2" s="495"/>
      <c r="DE2" s="495"/>
      <c r="DF2" s="495"/>
      <c r="DG2" s="495" t="s">
        <v>193</v>
      </c>
      <c r="DH2" s="495"/>
      <c r="DI2" s="495"/>
      <c r="DJ2" s="495"/>
      <c r="DK2" s="495"/>
      <c r="DL2" s="495"/>
      <c r="DM2" s="495"/>
      <c r="DN2" s="495"/>
      <c r="DO2" s="495"/>
      <c r="DP2" s="495"/>
      <c r="DQ2" s="495"/>
      <c r="DR2" s="495" t="s">
        <v>194</v>
      </c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 t="s">
        <v>195</v>
      </c>
      <c r="ED2" s="495"/>
      <c r="EE2" s="495"/>
      <c r="EF2" s="495"/>
      <c r="EG2" s="495"/>
      <c r="EH2" s="495"/>
      <c r="EI2" s="495"/>
      <c r="EJ2" s="495"/>
      <c r="EK2" s="495"/>
      <c r="EL2" s="495"/>
      <c r="EM2" s="495"/>
    </row>
    <row r="3" spans="1:143" ht="12.75">
      <c r="A3" s="496" t="s">
        <v>182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 t="s">
        <v>182</v>
      </c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 t="s">
        <v>182</v>
      </c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 t="s">
        <v>182</v>
      </c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 t="s">
        <v>182</v>
      </c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 t="s">
        <v>182</v>
      </c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 t="s">
        <v>182</v>
      </c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 t="s">
        <v>182</v>
      </c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 t="s">
        <v>182</v>
      </c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 t="s">
        <v>182</v>
      </c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 t="s">
        <v>182</v>
      </c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 t="s">
        <v>182</v>
      </c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 t="s">
        <v>182</v>
      </c>
      <c r="ED3" s="496"/>
      <c r="EE3" s="496"/>
      <c r="EF3" s="496"/>
      <c r="EG3" s="496"/>
      <c r="EH3" s="496"/>
      <c r="EI3" s="496"/>
      <c r="EJ3" s="496"/>
      <c r="EK3" s="496"/>
      <c r="EL3" s="496"/>
      <c r="EM3" s="496"/>
    </row>
    <row r="5" spans="1:138" ht="12.75">
      <c r="A5" s="70" t="s">
        <v>165</v>
      </c>
      <c r="F5" s="70" t="s">
        <v>167</v>
      </c>
      <c r="L5" s="70" t="s">
        <v>165</v>
      </c>
      <c r="Q5" s="70" t="s">
        <v>167</v>
      </c>
      <c r="W5" s="70" t="s">
        <v>165</v>
      </c>
      <c r="AB5" s="70" t="s">
        <v>167</v>
      </c>
      <c r="AH5" s="70" t="s">
        <v>165</v>
      </c>
      <c r="AM5" s="70" t="s">
        <v>167</v>
      </c>
      <c r="AS5" s="70" t="s">
        <v>165</v>
      </c>
      <c r="AX5" s="70" t="s">
        <v>167</v>
      </c>
      <c r="BD5" s="70" t="s">
        <v>165</v>
      </c>
      <c r="BI5" s="70" t="s">
        <v>167</v>
      </c>
      <c r="BO5" s="70" t="s">
        <v>165</v>
      </c>
      <c r="BT5" s="70" t="s">
        <v>167</v>
      </c>
      <c r="BZ5" s="70" t="s">
        <v>165</v>
      </c>
      <c r="CE5" s="70" t="s">
        <v>167</v>
      </c>
      <c r="CK5" s="70" t="s">
        <v>165</v>
      </c>
      <c r="CP5" s="70" t="s">
        <v>167</v>
      </c>
      <c r="CV5" s="70" t="s">
        <v>165</v>
      </c>
      <c r="DA5" s="70" t="s">
        <v>167</v>
      </c>
      <c r="DG5" s="70" t="s">
        <v>165</v>
      </c>
      <c r="DL5" s="70" t="s">
        <v>167</v>
      </c>
      <c r="DR5" s="70" t="s">
        <v>165</v>
      </c>
      <c r="DW5" s="70" t="s">
        <v>167</v>
      </c>
      <c r="EC5" s="70" t="s">
        <v>165</v>
      </c>
      <c r="EH5" s="70" t="s">
        <v>167</v>
      </c>
    </row>
    <row r="6" spans="1:138" ht="12.75">
      <c r="A6" s="70" t="s">
        <v>166</v>
      </c>
      <c r="F6" s="70" t="s">
        <v>168</v>
      </c>
      <c r="L6" s="70" t="s">
        <v>166</v>
      </c>
      <c r="Q6" s="70" t="s">
        <v>168</v>
      </c>
      <c r="W6" s="70" t="s">
        <v>166</v>
      </c>
      <c r="AB6" s="70" t="s">
        <v>168</v>
      </c>
      <c r="AH6" s="70" t="s">
        <v>166</v>
      </c>
      <c r="AM6" s="70" t="s">
        <v>168</v>
      </c>
      <c r="AS6" s="70" t="s">
        <v>166</v>
      </c>
      <c r="AX6" s="70" t="s">
        <v>168</v>
      </c>
      <c r="BD6" s="70" t="s">
        <v>166</v>
      </c>
      <c r="BI6" s="70" t="s">
        <v>168</v>
      </c>
      <c r="BO6" s="70" t="s">
        <v>166</v>
      </c>
      <c r="BT6" s="70" t="s">
        <v>168</v>
      </c>
      <c r="BZ6" s="70" t="s">
        <v>166</v>
      </c>
      <c r="CE6" s="70" t="s">
        <v>168</v>
      </c>
      <c r="CK6" s="70" t="s">
        <v>166</v>
      </c>
      <c r="CP6" s="70" t="s">
        <v>168</v>
      </c>
      <c r="CV6" s="70" t="s">
        <v>166</v>
      </c>
      <c r="DA6" s="70" t="s">
        <v>168</v>
      </c>
      <c r="DG6" s="70" t="s">
        <v>166</v>
      </c>
      <c r="DL6" s="70" t="s">
        <v>168</v>
      </c>
      <c r="DR6" s="70" t="s">
        <v>166</v>
      </c>
      <c r="DW6" s="70" t="s">
        <v>168</v>
      </c>
      <c r="EC6" s="70" t="s">
        <v>166</v>
      </c>
      <c r="EH6" s="70" t="s">
        <v>168</v>
      </c>
    </row>
    <row r="8" spans="1:143" ht="12.75">
      <c r="A8" s="495" t="s">
        <v>163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 t="s">
        <v>163</v>
      </c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 t="s">
        <v>163</v>
      </c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 t="s">
        <v>163</v>
      </c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 t="s">
        <v>163</v>
      </c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 t="s">
        <v>163</v>
      </c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 t="s">
        <v>163</v>
      </c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 t="s">
        <v>163</v>
      </c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 t="s">
        <v>163</v>
      </c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 t="s">
        <v>163</v>
      </c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 t="s">
        <v>163</v>
      </c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 t="s">
        <v>163</v>
      </c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 t="s">
        <v>163</v>
      </c>
      <c r="ED8" s="495"/>
      <c r="EE8" s="495"/>
      <c r="EF8" s="495"/>
      <c r="EG8" s="495"/>
      <c r="EH8" s="495"/>
      <c r="EI8" s="495"/>
      <c r="EJ8" s="495"/>
      <c r="EK8" s="495"/>
      <c r="EL8" s="495"/>
      <c r="EM8" s="495"/>
    </row>
    <row r="9" ht="13.5" thickBot="1"/>
    <row r="10" spans="1:142" ht="13.5" thickBot="1">
      <c r="A10" s="70"/>
      <c r="C10" s="270" t="s">
        <v>197</v>
      </c>
      <c r="D10" s="500" t="s">
        <v>196</v>
      </c>
      <c r="E10" s="498"/>
      <c r="F10" s="499"/>
      <c r="G10" s="270" t="s">
        <v>2</v>
      </c>
      <c r="H10" s="500" t="s">
        <v>198</v>
      </c>
      <c r="I10" s="498"/>
      <c r="J10" s="499"/>
      <c r="L10" s="70"/>
      <c r="N10" s="270" t="s">
        <v>197</v>
      </c>
      <c r="O10" s="500" t="s">
        <v>196</v>
      </c>
      <c r="P10" s="498"/>
      <c r="Q10" s="499"/>
      <c r="R10" s="270" t="s">
        <v>2</v>
      </c>
      <c r="S10" s="500" t="s">
        <v>198</v>
      </c>
      <c r="T10" s="498"/>
      <c r="U10" s="499"/>
      <c r="W10" s="70"/>
      <c r="Y10" s="270" t="s">
        <v>197</v>
      </c>
      <c r="Z10" s="497" t="s">
        <v>196</v>
      </c>
      <c r="AA10" s="498"/>
      <c r="AB10" s="499"/>
      <c r="AC10" s="270" t="s">
        <v>2</v>
      </c>
      <c r="AD10" s="500" t="s">
        <v>198</v>
      </c>
      <c r="AE10" s="498"/>
      <c r="AF10" s="499"/>
      <c r="AH10" s="70"/>
      <c r="AJ10" s="270" t="s">
        <v>197</v>
      </c>
      <c r="AK10" s="500" t="s">
        <v>230</v>
      </c>
      <c r="AL10" s="498"/>
      <c r="AM10" s="499"/>
      <c r="AN10" s="270" t="s">
        <v>2</v>
      </c>
      <c r="AO10" s="500" t="s">
        <v>234</v>
      </c>
      <c r="AP10" s="498"/>
      <c r="AQ10" s="499"/>
      <c r="AS10" s="70"/>
      <c r="AU10" s="270" t="s">
        <v>197</v>
      </c>
      <c r="AV10" s="500" t="s">
        <v>242</v>
      </c>
      <c r="AW10" s="498"/>
      <c r="AX10" s="499"/>
      <c r="AY10" s="270" t="s">
        <v>2</v>
      </c>
      <c r="AZ10" s="500" t="s">
        <v>234</v>
      </c>
      <c r="BA10" s="498"/>
      <c r="BB10" s="499"/>
      <c r="BD10" s="70"/>
      <c r="BF10" s="270" t="s">
        <v>197</v>
      </c>
      <c r="BG10" s="500" t="s">
        <v>230</v>
      </c>
      <c r="BH10" s="498"/>
      <c r="BI10" s="499"/>
      <c r="BJ10" s="270" t="s">
        <v>2</v>
      </c>
      <c r="BK10" s="500" t="s">
        <v>234</v>
      </c>
      <c r="BL10" s="498"/>
      <c r="BM10" s="499"/>
      <c r="BO10" s="70"/>
      <c r="BQ10" s="270" t="s">
        <v>197</v>
      </c>
      <c r="BR10" s="500" t="s">
        <v>230</v>
      </c>
      <c r="BS10" s="498"/>
      <c r="BT10" s="499"/>
      <c r="BU10" s="270" t="s">
        <v>2</v>
      </c>
      <c r="BV10" s="500" t="s">
        <v>234</v>
      </c>
      <c r="BW10" s="498"/>
      <c r="BX10" s="499"/>
      <c r="BZ10" s="70"/>
      <c r="CB10" s="270" t="s">
        <v>197</v>
      </c>
      <c r="CC10" s="497" t="s">
        <v>196</v>
      </c>
      <c r="CD10" s="498"/>
      <c r="CE10" s="499"/>
      <c r="CF10" s="270" t="s">
        <v>2</v>
      </c>
      <c r="CG10" s="500" t="s">
        <v>198</v>
      </c>
      <c r="CH10" s="498"/>
      <c r="CI10" s="499"/>
      <c r="CK10" s="70"/>
      <c r="CM10" s="270" t="s">
        <v>244</v>
      </c>
      <c r="CN10" s="497" t="s">
        <v>196</v>
      </c>
      <c r="CO10" s="498"/>
      <c r="CP10" s="499"/>
      <c r="CQ10" s="270" t="s">
        <v>2</v>
      </c>
      <c r="CR10" s="500" t="s">
        <v>198</v>
      </c>
      <c r="CS10" s="498"/>
      <c r="CT10" s="499"/>
      <c r="CV10" s="70"/>
      <c r="CX10" s="270" t="s">
        <v>132</v>
      </c>
      <c r="CY10" s="497" t="s">
        <v>111</v>
      </c>
      <c r="CZ10" s="498"/>
      <c r="DA10" s="499"/>
      <c r="DB10" s="270" t="s">
        <v>2</v>
      </c>
      <c r="DC10" s="500" t="s">
        <v>149</v>
      </c>
      <c r="DD10" s="498"/>
      <c r="DE10" s="499"/>
      <c r="DG10" s="70"/>
      <c r="DI10" s="270" t="s">
        <v>132</v>
      </c>
      <c r="DJ10" s="497" t="s">
        <v>111</v>
      </c>
      <c r="DK10" s="498"/>
      <c r="DL10" s="499"/>
      <c r="DM10" s="270" t="s">
        <v>2</v>
      </c>
      <c r="DN10" s="500" t="s">
        <v>149</v>
      </c>
      <c r="DO10" s="498"/>
      <c r="DP10" s="499"/>
      <c r="DR10" s="70"/>
      <c r="DT10" s="270" t="s">
        <v>132</v>
      </c>
      <c r="DU10" s="497" t="s">
        <v>111</v>
      </c>
      <c r="DV10" s="498"/>
      <c r="DW10" s="499"/>
      <c r="DX10" s="270" t="s">
        <v>2</v>
      </c>
      <c r="DY10" s="500" t="s">
        <v>149</v>
      </c>
      <c r="DZ10" s="498"/>
      <c r="EA10" s="499"/>
      <c r="EC10" s="70"/>
      <c r="EE10" s="270" t="s">
        <v>132</v>
      </c>
      <c r="EF10" s="497" t="s">
        <v>111</v>
      </c>
      <c r="EG10" s="498"/>
      <c r="EH10" s="499"/>
      <c r="EI10" s="270" t="s">
        <v>2</v>
      </c>
      <c r="EJ10" s="500" t="s">
        <v>149</v>
      </c>
      <c r="EK10" s="498"/>
      <c r="EL10" s="499"/>
    </row>
    <row r="11" spans="3:142" ht="12.75">
      <c r="C11" s="273" t="s">
        <v>19</v>
      </c>
      <c r="D11" s="273" t="s">
        <v>19</v>
      </c>
      <c r="E11" s="273" t="s">
        <v>18</v>
      </c>
      <c r="F11" s="273" t="s">
        <v>10</v>
      </c>
      <c r="G11" s="284"/>
      <c r="H11" s="339"/>
      <c r="I11" s="273" t="s">
        <v>18</v>
      </c>
      <c r="J11" s="273" t="s">
        <v>10</v>
      </c>
      <c r="N11" s="273" t="s">
        <v>19</v>
      </c>
      <c r="O11" s="273" t="s">
        <v>19</v>
      </c>
      <c r="P11" s="273" t="s">
        <v>18</v>
      </c>
      <c r="Q11" s="273" t="s">
        <v>10</v>
      </c>
      <c r="R11" s="273" t="s">
        <v>197</v>
      </c>
      <c r="S11" s="339" t="s">
        <v>132</v>
      </c>
      <c r="T11" s="273" t="s">
        <v>18</v>
      </c>
      <c r="U11" s="273" t="s">
        <v>10</v>
      </c>
      <c r="Y11" s="273" t="s">
        <v>19</v>
      </c>
      <c r="Z11" s="273" t="s">
        <v>19</v>
      </c>
      <c r="AA11" s="273" t="s">
        <v>18</v>
      </c>
      <c r="AB11" s="273" t="s">
        <v>10</v>
      </c>
      <c r="AC11" s="300" t="s">
        <v>201</v>
      </c>
      <c r="AD11" s="300" t="s">
        <v>67</v>
      </c>
      <c r="AE11" s="273" t="s">
        <v>18</v>
      </c>
      <c r="AF11" s="273" t="s">
        <v>10</v>
      </c>
      <c r="AJ11" s="273" t="s">
        <v>19</v>
      </c>
      <c r="AK11" s="273" t="s">
        <v>19</v>
      </c>
      <c r="AL11" s="273" t="s">
        <v>18</v>
      </c>
      <c r="AM11" s="273" t="s">
        <v>10</v>
      </c>
      <c r="AN11" s="284" t="s">
        <v>201</v>
      </c>
      <c r="AO11" s="300" t="s">
        <v>67</v>
      </c>
      <c r="AP11" s="273" t="s">
        <v>18</v>
      </c>
      <c r="AQ11" s="273" t="s">
        <v>10</v>
      </c>
      <c r="AU11" s="273" t="s">
        <v>19</v>
      </c>
      <c r="AV11" s="273" t="s">
        <v>19</v>
      </c>
      <c r="AW11" s="273" t="s">
        <v>18</v>
      </c>
      <c r="AX11" s="273" t="s">
        <v>10</v>
      </c>
      <c r="AY11" s="300" t="s">
        <v>201</v>
      </c>
      <c r="AZ11" s="300" t="s">
        <v>67</v>
      </c>
      <c r="BA11" s="273" t="s">
        <v>18</v>
      </c>
      <c r="BB11" s="273" t="s">
        <v>10</v>
      </c>
      <c r="BF11" s="273" t="s">
        <v>19</v>
      </c>
      <c r="BG11" s="273" t="s">
        <v>19</v>
      </c>
      <c r="BH11" s="273" t="s">
        <v>18</v>
      </c>
      <c r="BI11" s="273" t="s">
        <v>10</v>
      </c>
      <c r="BJ11" s="300" t="s">
        <v>201</v>
      </c>
      <c r="BK11" s="300" t="s">
        <v>67</v>
      </c>
      <c r="BL11" s="273" t="s">
        <v>18</v>
      </c>
      <c r="BM11" s="273" t="s">
        <v>10</v>
      </c>
      <c r="BQ11" s="273" t="s">
        <v>19</v>
      </c>
      <c r="BR11" s="273" t="s">
        <v>19</v>
      </c>
      <c r="BS11" s="273" t="s">
        <v>18</v>
      </c>
      <c r="BT11" s="273" t="s">
        <v>10</v>
      </c>
      <c r="BU11" s="300" t="s">
        <v>201</v>
      </c>
      <c r="BV11" s="300" t="s">
        <v>67</v>
      </c>
      <c r="BW11" s="273" t="s">
        <v>18</v>
      </c>
      <c r="BX11" s="273" t="s">
        <v>10</v>
      </c>
      <c r="CB11" s="273" t="s">
        <v>19</v>
      </c>
      <c r="CC11" s="273" t="s">
        <v>19</v>
      </c>
      <c r="CD11" s="273" t="s">
        <v>18</v>
      </c>
      <c r="CE11" s="273" t="s">
        <v>10</v>
      </c>
      <c r="CF11" s="300" t="s">
        <v>201</v>
      </c>
      <c r="CG11" s="300" t="s">
        <v>67</v>
      </c>
      <c r="CH11" s="273" t="s">
        <v>18</v>
      </c>
      <c r="CI11" s="273" t="s">
        <v>10</v>
      </c>
      <c r="CM11" s="273" t="s">
        <v>19</v>
      </c>
      <c r="CN11" s="273" t="s">
        <v>19</v>
      </c>
      <c r="CO11" s="273" t="s">
        <v>18</v>
      </c>
      <c r="CP11" s="273" t="s">
        <v>10</v>
      </c>
      <c r="CQ11" s="300" t="s">
        <v>201</v>
      </c>
      <c r="CR11" s="300" t="s">
        <v>67</v>
      </c>
      <c r="CS11" s="273" t="s">
        <v>18</v>
      </c>
      <c r="CT11" s="273" t="s">
        <v>10</v>
      </c>
      <c r="CX11" s="273" t="s">
        <v>19</v>
      </c>
      <c r="CY11" s="273" t="s">
        <v>19</v>
      </c>
      <c r="CZ11" s="273" t="s">
        <v>18</v>
      </c>
      <c r="DA11" s="273" t="s">
        <v>10</v>
      </c>
      <c r="DB11" s="300" t="s">
        <v>67</v>
      </c>
      <c r="DC11" s="273" t="s">
        <v>5</v>
      </c>
      <c r="DD11" s="273" t="s">
        <v>18</v>
      </c>
      <c r="DE11" s="273" t="s">
        <v>10</v>
      </c>
      <c r="DI11" s="273" t="s">
        <v>19</v>
      </c>
      <c r="DJ11" s="273" t="s">
        <v>19</v>
      </c>
      <c r="DK11" s="273" t="s">
        <v>18</v>
      </c>
      <c r="DL11" s="273" t="s">
        <v>10</v>
      </c>
      <c r="DM11" s="300" t="s">
        <v>67</v>
      </c>
      <c r="DN11" s="273" t="s">
        <v>5</v>
      </c>
      <c r="DO11" s="273" t="s">
        <v>18</v>
      </c>
      <c r="DP11" s="273" t="s">
        <v>10</v>
      </c>
      <c r="DT11" s="273" t="s">
        <v>19</v>
      </c>
      <c r="DU11" s="273" t="s">
        <v>19</v>
      </c>
      <c r="DV11" s="273" t="s">
        <v>18</v>
      </c>
      <c r="DW11" s="273" t="s">
        <v>10</v>
      </c>
      <c r="DX11" s="300" t="s">
        <v>67</v>
      </c>
      <c r="DY11" s="273" t="s">
        <v>5</v>
      </c>
      <c r="DZ11" s="273" t="s">
        <v>18</v>
      </c>
      <c r="EA11" s="273" t="s">
        <v>10</v>
      </c>
      <c r="EE11" s="273" t="s">
        <v>19</v>
      </c>
      <c r="EF11" s="273" t="s">
        <v>19</v>
      </c>
      <c r="EG11" s="273" t="s">
        <v>18</v>
      </c>
      <c r="EH11" s="273" t="s">
        <v>10</v>
      </c>
      <c r="EI11" s="300" t="s">
        <v>67</v>
      </c>
      <c r="EJ11" s="273" t="s">
        <v>5</v>
      </c>
      <c r="EK11" s="273" t="s">
        <v>18</v>
      </c>
      <c r="EL11" s="273" t="s">
        <v>10</v>
      </c>
    </row>
    <row r="12" spans="3:142" ht="13.5" thickBot="1">
      <c r="C12" s="237" t="s">
        <v>110</v>
      </c>
      <c r="D12" s="338" t="s">
        <v>132</v>
      </c>
      <c r="E12" s="276"/>
      <c r="F12" s="276"/>
      <c r="G12" s="276" t="s">
        <v>19</v>
      </c>
      <c r="H12" s="276" t="s">
        <v>19</v>
      </c>
      <c r="I12" s="291"/>
      <c r="J12" s="282"/>
      <c r="N12" s="237" t="s">
        <v>113</v>
      </c>
      <c r="O12" s="338" t="s">
        <v>132</v>
      </c>
      <c r="P12" s="276"/>
      <c r="Q12" s="276"/>
      <c r="R12" s="276" t="s">
        <v>19</v>
      </c>
      <c r="S12" s="276" t="s">
        <v>19</v>
      </c>
      <c r="T12" s="291"/>
      <c r="U12" s="282"/>
      <c r="Y12" s="237" t="s">
        <v>114</v>
      </c>
      <c r="Z12" s="427" t="s">
        <v>67</v>
      </c>
      <c r="AA12" s="276"/>
      <c r="AB12" s="276"/>
      <c r="AC12" s="276" t="s">
        <v>19</v>
      </c>
      <c r="AD12" s="276" t="s">
        <v>19</v>
      </c>
      <c r="AE12" s="291"/>
      <c r="AF12" s="282"/>
      <c r="AJ12" s="237" t="s">
        <v>115</v>
      </c>
      <c r="AK12" s="299" t="s">
        <v>67</v>
      </c>
      <c r="AL12" s="276"/>
      <c r="AM12" s="276"/>
      <c r="AN12" s="276" t="s">
        <v>19</v>
      </c>
      <c r="AO12" s="276" t="s">
        <v>19</v>
      </c>
      <c r="AP12" s="291"/>
      <c r="AQ12" s="282"/>
      <c r="AU12" s="237" t="s">
        <v>116</v>
      </c>
      <c r="AV12" s="299" t="s">
        <v>67</v>
      </c>
      <c r="AW12" s="276"/>
      <c r="AX12" s="276"/>
      <c r="AY12" s="276" t="s">
        <v>19</v>
      </c>
      <c r="AZ12" s="276" t="s">
        <v>19</v>
      </c>
      <c r="BA12" s="291"/>
      <c r="BB12" s="282"/>
      <c r="BF12" s="237" t="s">
        <v>117</v>
      </c>
      <c r="BG12" s="299" t="s">
        <v>67</v>
      </c>
      <c r="BH12" s="276"/>
      <c r="BI12" s="276"/>
      <c r="BJ12" s="276" t="s">
        <v>19</v>
      </c>
      <c r="BK12" s="276" t="s">
        <v>19</v>
      </c>
      <c r="BL12" s="291"/>
      <c r="BM12" s="282"/>
      <c r="BQ12" s="237" t="s">
        <v>118</v>
      </c>
      <c r="BR12" s="427" t="s">
        <v>67</v>
      </c>
      <c r="BS12" s="276"/>
      <c r="BT12" s="276"/>
      <c r="BU12" s="276" t="s">
        <v>19</v>
      </c>
      <c r="BV12" s="276" t="s">
        <v>19</v>
      </c>
      <c r="BW12" s="291"/>
      <c r="BX12" s="282"/>
      <c r="CB12" s="237" t="s">
        <v>119</v>
      </c>
      <c r="CC12" s="299" t="s">
        <v>67</v>
      </c>
      <c r="CD12" s="276"/>
      <c r="CE12" s="276"/>
      <c r="CF12" s="276" t="s">
        <v>19</v>
      </c>
      <c r="CG12" s="276" t="s">
        <v>19</v>
      </c>
      <c r="CH12" s="291"/>
      <c r="CI12" s="282"/>
      <c r="CM12" s="237" t="s">
        <v>120</v>
      </c>
      <c r="CN12" s="427" t="s">
        <v>67</v>
      </c>
      <c r="CO12" s="276"/>
      <c r="CP12" s="276"/>
      <c r="CQ12" s="276" t="s">
        <v>19</v>
      </c>
      <c r="CR12" s="276" t="s">
        <v>19</v>
      </c>
      <c r="CS12" s="291"/>
      <c r="CT12" s="282"/>
      <c r="CX12" s="237" t="s">
        <v>121</v>
      </c>
      <c r="CY12" s="276" t="s">
        <v>5</v>
      </c>
      <c r="CZ12" s="276"/>
      <c r="DA12" s="276"/>
      <c r="DB12" s="276" t="s">
        <v>19</v>
      </c>
      <c r="DC12" s="276" t="s">
        <v>19</v>
      </c>
      <c r="DD12" s="291"/>
      <c r="DE12" s="282"/>
      <c r="DI12" s="237" t="s">
        <v>122</v>
      </c>
      <c r="DJ12" s="276" t="s">
        <v>5</v>
      </c>
      <c r="DK12" s="276"/>
      <c r="DL12" s="276"/>
      <c r="DM12" s="276" t="s">
        <v>19</v>
      </c>
      <c r="DN12" s="276" t="s">
        <v>19</v>
      </c>
      <c r="DO12" s="291"/>
      <c r="DP12" s="282"/>
      <c r="DT12" s="237" t="s">
        <v>123</v>
      </c>
      <c r="DU12" s="276" t="s">
        <v>5</v>
      </c>
      <c r="DV12" s="276"/>
      <c r="DW12" s="276"/>
      <c r="DX12" s="276" t="s">
        <v>19</v>
      </c>
      <c r="DY12" s="276" t="s">
        <v>19</v>
      </c>
      <c r="DZ12" s="291"/>
      <c r="EA12" s="282"/>
      <c r="EE12" s="237" t="s">
        <v>1</v>
      </c>
      <c r="EF12" s="276" t="s">
        <v>5</v>
      </c>
      <c r="EG12" s="276"/>
      <c r="EH12" s="276"/>
      <c r="EI12" s="276" t="s">
        <v>19</v>
      </c>
      <c r="EJ12" s="276" t="s">
        <v>19</v>
      </c>
      <c r="EK12" s="291"/>
      <c r="EL12" s="282"/>
    </row>
    <row r="13" spans="1:142" ht="13.5" thickBot="1">
      <c r="A13" s="281" t="s">
        <v>175</v>
      </c>
      <c r="B13" s="298">
        <v>2900</v>
      </c>
      <c r="C13" s="72">
        <v>778616</v>
      </c>
      <c r="D13" s="72">
        <v>571541</v>
      </c>
      <c r="E13" s="72">
        <f>D13-C13</f>
        <v>-207075</v>
      </c>
      <c r="F13" s="73">
        <f>E13/D13</f>
        <v>-0.36230996551428507</v>
      </c>
      <c r="G13" s="72">
        <f aca="true" t="shared" si="0" ref="G13:H16">SUM(C13)</f>
        <v>778616</v>
      </c>
      <c r="H13" s="72">
        <f t="shared" si="0"/>
        <v>571541</v>
      </c>
      <c r="I13" s="87">
        <f>H13-G13</f>
        <v>-207075</v>
      </c>
      <c r="J13" s="73">
        <f>I13/H13</f>
        <v>-0.36230996551428507</v>
      </c>
      <c r="L13" s="281" t="s">
        <v>175</v>
      </c>
      <c r="M13" s="298">
        <v>2900</v>
      </c>
      <c r="N13" s="72">
        <v>495468</v>
      </c>
      <c r="O13" s="72">
        <v>406271</v>
      </c>
      <c r="P13" s="72">
        <f>O13-N13</f>
        <v>-89197</v>
      </c>
      <c r="Q13" s="73">
        <f>P13/O13</f>
        <v>-0.219550497081997</v>
      </c>
      <c r="R13" s="72">
        <f aca="true" t="shared" si="1" ref="R13:S16">SUM(G13+N13)</f>
        <v>1274084</v>
      </c>
      <c r="S13" s="72">
        <f t="shared" si="1"/>
        <v>977812</v>
      </c>
      <c r="T13" s="87">
        <f>S13-R13</f>
        <v>-296272</v>
      </c>
      <c r="U13" s="73">
        <f>T13/S13</f>
        <v>-0.30299484972571417</v>
      </c>
      <c r="W13" s="281" t="s">
        <v>175</v>
      </c>
      <c r="X13" s="298">
        <v>2900</v>
      </c>
      <c r="Y13" s="72">
        <v>622985</v>
      </c>
      <c r="Z13" s="72">
        <v>375203</v>
      </c>
      <c r="AA13" s="72">
        <f>Z13-Y13</f>
        <v>-247782</v>
      </c>
      <c r="AB13" s="73">
        <f>AA13/Z13</f>
        <v>-0.6603945064405136</v>
      </c>
      <c r="AC13" s="72">
        <f aca="true" t="shared" si="2" ref="AC13:AD16">SUM(R13+Y13)</f>
        <v>1897069</v>
      </c>
      <c r="AD13" s="72">
        <f t="shared" si="2"/>
        <v>1353015</v>
      </c>
      <c r="AE13" s="87">
        <f>AD13-AC13</f>
        <v>-544054</v>
      </c>
      <c r="AF13" s="73">
        <f>AE13/AD13</f>
        <v>-0.402104928622373</v>
      </c>
      <c r="AH13" s="281" t="s">
        <v>175</v>
      </c>
      <c r="AI13" s="298">
        <v>2900</v>
      </c>
      <c r="AJ13" s="72">
        <v>483973</v>
      </c>
      <c r="AK13" s="72">
        <v>444216</v>
      </c>
      <c r="AL13" s="72">
        <f>AK13-AJ13</f>
        <v>-39757</v>
      </c>
      <c r="AM13" s="73">
        <f>AL13/AK13</f>
        <v>-0.08949925261584454</v>
      </c>
      <c r="AN13" s="72">
        <f aca="true" t="shared" si="3" ref="AN13:AO16">SUM(AC13+AJ13)</f>
        <v>2381042</v>
      </c>
      <c r="AO13" s="72">
        <f t="shared" si="3"/>
        <v>1797231</v>
      </c>
      <c r="AP13" s="87">
        <f>AO13-AN13</f>
        <v>-583811</v>
      </c>
      <c r="AQ13" s="73">
        <f>AP13/AO13</f>
        <v>-0.3248391553450836</v>
      </c>
      <c r="AS13" s="281" t="s">
        <v>175</v>
      </c>
      <c r="AT13" s="298">
        <v>2900</v>
      </c>
      <c r="AU13" s="72">
        <v>508484</v>
      </c>
      <c r="AV13" s="72">
        <v>450001</v>
      </c>
      <c r="AW13" s="72">
        <f>AV13-AU13</f>
        <v>-58483</v>
      </c>
      <c r="AX13" s="73">
        <f>AW13/AV13</f>
        <v>-0.12996193341792575</v>
      </c>
      <c r="AY13" s="72">
        <f aca="true" t="shared" si="4" ref="AY13:AZ16">SUM(AN13+AU13)</f>
        <v>2889526</v>
      </c>
      <c r="AZ13" s="72">
        <f t="shared" si="4"/>
        <v>2247232</v>
      </c>
      <c r="BA13" s="87">
        <f>AZ13-AY13</f>
        <v>-642294</v>
      </c>
      <c r="BB13" s="73">
        <f>BA13/AZ13</f>
        <v>-0.285815616723151</v>
      </c>
      <c r="BD13" s="281" t="s">
        <v>175</v>
      </c>
      <c r="BE13" s="298">
        <v>2900</v>
      </c>
      <c r="BF13" s="72">
        <v>512026</v>
      </c>
      <c r="BG13" s="72">
        <v>512374</v>
      </c>
      <c r="BH13" s="72">
        <f>BG13-BF13</f>
        <v>348</v>
      </c>
      <c r="BI13" s="73">
        <f>BH13/BG13</f>
        <v>0.0006791913719275373</v>
      </c>
      <c r="BJ13" s="72">
        <f aca="true" t="shared" si="5" ref="BJ13:BK16">SUM(AY13+BF13)</f>
        <v>3401552</v>
      </c>
      <c r="BK13" s="72">
        <f t="shared" si="5"/>
        <v>2759606</v>
      </c>
      <c r="BL13" s="87">
        <f>BK13-BJ13</f>
        <v>-641946</v>
      </c>
      <c r="BM13" s="73">
        <f>BL13/BK13</f>
        <v>-0.23262233811638328</v>
      </c>
      <c r="BO13" s="281" t="s">
        <v>175</v>
      </c>
      <c r="BP13" s="298">
        <v>2900</v>
      </c>
      <c r="BQ13" s="72">
        <v>573326</v>
      </c>
      <c r="BR13" s="72">
        <v>424200</v>
      </c>
      <c r="BS13" s="72">
        <f>BR13-BQ13</f>
        <v>-149126</v>
      </c>
      <c r="BT13" s="73">
        <f>BS13/BR13</f>
        <v>-0.35154644035832155</v>
      </c>
      <c r="BU13" s="72">
        <f aca="true" t="shared" si="6" ref="BU13:BV16">SUM(BJ13+BQ13)</f>
        <v>3974878</v>
      </c>
      <c r="BV13" s="72">
        <f t="shared" si="6"/>
        <v>3183806</v>
      </c>
      <c r="BW13" s="87">
        <f>BV13-BU13</f>
        <v>-791072</v>
      </c>
      <c r="BX13" s="73">
        <f>BW13/BV13</f>
        <v>-0.24846740033783465</v>
      </c>
      <c r="BZ13" s="281" t="s">
        <v>175</v>
      </c>
      <c r="CA13" s="298">
        <v>2900</v>
      </c>
      <c r="CB13" s="72">
        <v>567652</v>
      </c>
      <c r="CC13" s="72">
        <v>531690</v>
      </c>
      <c r="CD13" s="72">
        <f>CC13-CB13</f>
        <v>-35962</v>
      </c>
      <c r="CE13" s="73">
        <f>CD13/CC13</f>
        <v>-0.06763715698997536</v>
      </c>
      <c r="CF13" s="72">
        <f aca="true" t="shared" si="7" ref="CF13:CG16">SUM(BU13+CB13)</f>
        <v>4542530</v>
      </c>
      <c r="CG13" s="72">
        <f t="shared" si="7"/>
        <v>3715496</v>
      </c>
      <c r="CH13" s="87">
        <f>CG13-CF13</f>
        <v>-827034</v>
      </c>
      <c r="CI13" s="73">
        <f>CH13/CG13</f>
        <v>-0.22259046975154864</v>
      </c>
      <c r="CK13" s="281" t="s">
        <v>175</v>
      </c>
      <c r="CL13" s="298">
        <v>2900</v>
      </c>
      <c r="CM13" s="72">
        <v>585962</v>
      </c>
      <c r="CN13" s="72">
        <v>549425</v>
      </c>
      <c r="CO13" s="72">
        <f>CN13-CM13</f>
        <v>-36537</v>
      </c>
      <c r="CP13" s="73">
        <f>CO13/CN13</f>
        <v>-0.06650043227010057</v>
      </c>
      <c r="CQ13" s="72">
        <f aca="true" t="shared" si="8" ref="CQ13:CR16">SUM(CF13+CM13)</f>
        <v>5128492</v>
      </c>
      <c r="CR13" s="72">
        <f t="shared" si="8"/>
        <v>4264921</v>
      </c>
      <c r="CS13" s="87">
        <f>CR13-CQ13</f>
        <v>-863571</v>
      </c>
      <c r="CT13" s="73">
        <f>CS13/CR13</f>
        <v>-0.20248229685848812</v>
      </c>
      <c r="CV13" s="281" t="s">
        <v>175</v>
      </c>
      <c r="CW13" s="298">
        <v>2900</v>
      </c>
      <c r="CX13" s="72">
        <v>465587</v>
      </c>
      <c r="CY13" s="72">
        <v>391430</v>
      </c>
      <c r="CZ13" s="72">
        <f>CY13-CX13</f>
        <v>-74157</v>
      </c>
      <c r="DA13" s="73">
        <f>CZ13/CY13</f>
        <v>-0.1894514983521958</v>
      </c>
      <c r="DB13" s="72">
        <f aca="true" t="shared" si="9" ref="DB13:DC16">SUM(CQ13+CX13)</f>
        <v>5594079</v>
      </c>
      <c r="DC13" s="72">
        <f t="shared" si="9"/>
        <v>4656351</v>
      </c>
      <c r="DD13" s="87">
        <f>DC13-DB13</f>
        <v>-937728</v>
      </c>
      <c r="DE13" s="73">
        <f>DD13/DC13</f>
        <v>-0.20138687998391874</v>
      </c>
      <c r="DG13" s="281" t="s">
        <v>175</v>
      </c>
      <c r="DH13" s="298">
        <v>2900</v>
      </c>
      <c r="DI13" s="72">
        <v>685602</v>
      </c>
      <c r="DJ13" s="72">
        <v>440579</v>
      </c>
      <c r="DK13" s="72">
        <f>DJ13-DI13</f>
        <v>-245023</v>
      </c>
      <c r="DL13" s="73">
        <f>DK13/DJ13</f>
        <v>-0.5561386266708127</v>
      </c>
      <c r="DM13" s="72">
        <f aca="true" t="shared" si="10" ref="DM13:DN16">SUM(DB13+DI13)</f>
        <v>6279681</v>
      </c>
      <c r="DN13" s="72">
        <f t="shared" si="10"/>
        <v>5096930</v>
      </c>
      <c r="DO13" s="87">
        <f>DN13-DM13</f>
        <v>-1182751</v>
      </c>
      <c r="DP13" s="73">
        <f>DO13/DN13</f>
        <v>-0.23205164677560805</v>
      </c>
      <c r="DR13" s="281" t="s">
        <v>175</v>
      </c>
      <c r="DS13" s="298">
        <v>2900</v>
      </c>
      <c r="DT13" s="72">
        <v>555896</v>
      </c>
      <c r="DU13" s="72">
        <v>420361</v>
      </c>
      <c r="DV13" s="72">
        <f>DU13-DT13</f>
        <v>-135535</v>
      </c>
      <c r="DW13" s="73">
        <f>DV13/DU13</f>
        <v>-0.3224252487742678</v>
      </c>
      <c r="DX13" s="72">
        <f aca="true" t="shared" si="11" ref="DX13:DY16">SUM(DM13+DT13)</f>
        <v>6835577</v>
      </c>
      <c r="DY13" s="72">
        <f t="shared" si="11"/>
        <v>5517291</v>
      </c>
      <c r="DZ13" s="87">
        <f>DY13-DX13</f>
        <v>-1318286</v>
      </c>
      <c r="EA13" s="73">
        <f>DZ13/DY13</f>
        <v>-0.2389371885586604</v>
      </c>
      <c r="EC13" s="281" t="s">
        <v>175</v>
      </c>
      <c r="ED13" s="298">
        <v>2900</v>
      </c>
      <c r="EE13" s="72">
        <v>459573</v>
      </c>
      <c r="EF13" s="72">
        <v>523008</v>
      </c>
      <c r="EG13" s="72">
        <f>EF13-EE13</f>
        <v>63435</v>
      </c>
      <c r="EH13" s="73">
        <f>EG13/EF13</f>
        <v>0.12128877569750367</v>
      </c>
      <c r="EI13" s="72">
        <f aca="true" t="shared" si="12" ref="EI13:EJ16">SUM(DX13+EE13)</f>
        <v>7295150</v>
      </c>
      <c r="EJ13" s="72">
        <f t="shared" si="12"/>
        <v>6040299</v>
      </c>
      <c r="EK13" s="87">
        <f>EJ13-EI13</f>
        <v>-1254851</v>
      </c>
      <c r="EL13" s="73">
        <f>EK13/EJ13</f>
        <v>-0.20774650393962285</v>
      </c>
    </row>
    <row r="14" spans="1:142" ht="13.5" thickBot="1">
      <c r="A14" s="281" t="s">
        <v>172</v>
      </c>
      <c r="B14" s="298"/>
      <c r="C14" s="72">
        <f>8519+31+6127+1613+473+92</f>
        <v>16855</v>
      </c>
      <c r="D14" s="72">
        <v>19535</v>
      </c>
      <c r="E14" s="72">
        <f>D14-C14</f>
        <v>2680</v>
      </c>
      <c r="F14" s="73">
        <f>E14/D14</f>
        <v>0.1371896595853596</v>
      </c>
      <c r="G14" s="72">
        <f t="shared" si="0"/>
        <v>16855</v>
      </c>
      <c r="H14" s="72">
        <f t="shared" si="0"/>
        <v>19535</v>
      </c>
      <c r="I14" s="87">
        <f>H14-G14</f>
        <v>2680</v>
      </c>
      <c r="J14" s="73">
        <f>I14/H14</f>
        <v>0.1371896595853596</v>
      </c>
      <c r="L14" s="281" t="s">
        <v>172</v>
      </c>
      <c r="M14" s="298"/>
      <c r="N14" s="72">
        <f>5108+11848</f>
        <v>16956</v>
      </c>
      <c r="O14" s="72">
        <v>6237</v>
      </c>
      <c r="P14" s="72">
        <f>O14-N14</f>
        <v>-10719</v>
      </c>
      <c r="Q14" s="73">
        <f>P14/O14</f>
        <v>-1.7186147186147187</v>
      </c>
      <c r="R14" s="72">
        <f t="shared" si="1"/>
        <v>33811</v>
      </c>
      <c r="S14" s="72">
        <f t="shared" si="1"/>
        <v>25772</v>
      </c>
      <c r="T14" s="87">
        <f>S14-R14</f>
        <v>-8039</v>
      </c>
      <c r="U14" s="73">
        <f>T14/S14</f>
        <v>-0.3119276734440478</v>
      </c>
      <c r="W14" s="281" t="s">
        <v>172</v>
      </c>
      <c r="X14" s="298"/>
      <c r="Y14" s="72">
        <f>3672+8221</f>
        <v>11893</v>
      </c>
      <c r="Z14" s="72">
        <v>13140</v>
      </c>
      <c r="AA14" s="72">
        <f>Z14-Y14</f>
        <v>1247</v>
      </c>
      <c r="AB14" s="73">
        <f>AA14/Z14</f>
        <v>0.09490106544901065</v>
      </c>
      <c r="AC14" s="72">
        <f t="shared" si="2"/>
        <v>45704</v>
      </c>
      <c r="AD14" s="72">
        <f t="shared" si="2"/>
        <v>38912</v>
      </c>
      <c r="AE14" s="87">
        <f>AD14-AC14</f>
        <v>-6792</v>
      </c>
      <c r="AF14" s="73">
        <f>AE14/AD14</f>
        <v>-0.17454769736842105</v>
      </c>
      <c r="AH14" s="281" t="s">
        <v>172</v>
      </c>
      <c r="AI14" s="298"/>
      <c r="AJ14" s="72">
        <f>5485+10114</f>
        <v>15599</v>
      </c>
      <c r="AK14" s="72">
        <v>21218</v>
      </c>
      <c r="AL14" s="72">
        <f>AK14-AJ14</f>
        <v>5619</v>
      </c>
      <c r="AM14" s="73">
        <f>AL14/AK14</f>
        <v>0.26482232067112826</v>
      </c>
      <c r="AN14" s="72">
        <f t="shared" si="3"/>
        <v>61303</v>
      </c>
      <c r="AO14" s="72">
        <f t="shared" si="3"/>
        <v>60130</v>
      </c>
      <c r="AP14" s="87">
        <f>AO14-AN14</f>
        <v>-1173</v>
      </c>
      <c r="AQ14" s="73">
        <f>AP14/AO14</f>
        <v>-0.01950773324463662</v>
      </c>
      <c r="AS14" s="281" t="s">
        <v>172</v>
      </c>
      <c r="AT14" s="298"/>
      <c r="AU14" s="72">
        <f>8641+8145</f>
        <v>16786</v>
      </c>
      <c r="AV14" s="72">
        <v>19702</v>
      </c>
      <c r="AW14" s="72">
        <f>AV14-AU14</f>
        <v>2916</v>
      </c>
      <c r="AX14" s="73">
        <f>AW14/AV14</f>
        <v>0.1480052786519135</v>
      </c>
      <c r="AY14" s="72">
        <f t="shared" si="4"/>
        <v>78089</v>
      </c>
      <c r="AZ14" s="72">
        <f t="shared" si="4"/>
        <v>79832</v>
      </c>
      <c r="BA14" s="87">
        <f>AZ14-AY14</f>
        <v>1743</v>
      </c>
      <c r="BB14" s="73">
        <f>BA14/AZ14</f>
        <v>0.021833350035073654</v>
      </c>
      <c r="BD14" s="281" t="s">
        <v>172</v>
      </c>
      <c r="BE14" s="298"/>
      <c r="BF14" s="72">
        <f>4525+12403</f>
        <v>16928</v>
      </c>
      <c r="BG14" s="72">
        <v>12796</v>
      </c>
      <c r="BH14" s="72">
        <f>BG14-BF14</f>
        <v>-4132</v>
      </c>
      <c r="BI14" s="73">
        <f>BH14/BG14</f>
        <v>-0.3229134104407627</v>
      </c>
      <c r="BJ14" s="72">
        <f t="shared" si="5"/>
        <v>95017</v>
      </c>
      <c r="BK14" s="72">
        <f t="shared" si="5"/>
        <v>92628</v>
      </c>
      <c r="BL14" s="87">
        <f>BK14-BJ14</f>
        <v>-2389</v>
      </c>
      <c r="BM14" s="73">
        <f>BL14/BK14</f>
        <v>-0.025791337392581076</v>
      </c>
      <c r="BO14" s="281" t="s">
        <v>172</v>
      </c>
      <c r="BP14" s="298"/>
      <c r="BQ14" s="72">
        <f>4602+8364</f>
        <v>12966</v>
      </c>
      <c r="BR14" s="72">
        <v>22779</v>
      </c>
      <c r="BS14" s="72">
        <f>BR14-BQ14</f>
        <v>9813</v>
      </c>
      <c r="BT14" s="73">
        <f>BS14/BR14</f>
        <v>0.43079151850388514</v>
      </c>
      <c r="BU14" s="72">
        <f t="shared" si="6"/>
        <v>107983</v>
      </c>
      <c r="BV14" s="72">
        <f t="shared" si="6"/>
        <v>115407</v>
      </c>
      <c r="BW14" s="87">
        <f>BV14-BU14</f>
        <v>7424</v>
      </c>
      <c r="BX14" s="73">
        <f>BW14/BV14</f>
        <v>0.0643288535357474</v>
      </c>
      <c r="BZ14" s="281" t="s">
        <v>172</v>
      </c>
      <c r="CA14" s="298"/>
      <c r="CB14" s="72">
        <f>3312+11850</f>
        <v>15162</v>
      </c>
      <c r="CC14" s="72">
        <v>26628</v>
      </c>
      <c r="CD14" s="72">
        <f>CC14-CB14</f>
        <v>11466</v>
      </c>
      <c r="CE14" s="73">
        <f>CD14/CC14</f>
        <v>0.4305993690851735</v>
      </c>
      <c r="CF14" s="72">
        <f t="shared" si="7"/>
        <v>123145</v>
      </c>
      <c r="CG14" s="72">
        <f t="shared" si="7"/>
        <v>142035</v>
      </c>
      <c r="CH14" s="87">
        <f>CG14-CF14</f>
        <v>18890</v>
      </c>
      <c r="CI14" s="73">
        <f>CH14/CG14</f>
        <v>0.1329953884605907</v>
      </c>
      <c r="CK14" s="281" t="s">
        <v>172</v>
      </c>
      <c r="CL14" s="298"/>
      <c r="CM14" s="72">
        <f>4272+8700</f>
        <v>12972</v>
      </c>
      <c r="CN14" s="72">
        <v>27368</v>
      </c>
      <c r="CO14" s="72">
        <f>CN14-CM14</f>
        <v>14396</v>
      </c>
      <c r="CP14" s="73">
        <f>CO14/CN14</f>
        <v>0.5260157848582286</v>
      </c>
      <c r="CQ14" s="72">
        <f t="shared" si="8"/>
        <v>136117</v>
      </c>
      <c r="CR14" s="72">
        <f t="shared" si="8"/>
        <v>169403</v>
      </c>
      <c r="CS14" s="87">
        <f>CR14-CQ14</f>
        <v>33286</v>
      </c>
      <c r="CT14" s="73">
        <f>CS14/CR14</f>
        <v>0.1964900267409668</v>
      </c>
      <c r="CV14" s="281" t="s">
        <v>172</v>
      </c>
      <c r="CW14" s="298"/>
      <c r="CX14" s="72">
        <v>14882</v>
      </c>
      <c r="CY14" s="72">
        <v>17996</v>
      </c>
      <c r="CZ14" s="72">
        <f>CY14-CX14</f>
        <v>3114</v>
      </c>
      <c r="DA14" s="73">
        <f>CZ14/CY14</f>
        <v>0.17303845298955323</v>
      </c>
      <c r="DB14" s="72">
        <f t="shared" si="9"/>
        <v>150999</v>
      </c>
      <c r="DC14" s="72">
        <f t="shared" si="9"/>
        <v>187399</v>
      </c>
      <c r="DD14" s="87">
        <f>DC14-DB14</f>
        <v>36400</v>
      </c>
      <c r="DE14" s="73">
        <f>DD14/DC14</f>
        <v>0.1942379628493215</v>
      </c>
      <c r="DG14" s="281" t="s">
        <v>172</v>
      </c>
      <c r="DH14" s="298"/>
      <c r="DI14" s="72">
        <v>19409</v>
      </c>
      <c r="DJ14" s="72">
        <v>12157</v>
      </c>
      <c r="DK14" s="72">
        <f>DJ14-DI14</f>
        <v>-7252</v>
      </c>
      <c r="DL14" s="73">
        <f>DK14/DJ14</f>
        <v>-0.5965287488689643</v>
      </c>
      <c r="DM14" s="72">
        <f t="shared" si="10"/>
        <v>170408</v>
      </c>
      <c r="DN14" s="72">
        <f t="shared" si="10"/>
        <v>199556</v>
      </c>
      <c r="DO14" s="87">
        <f>DN14-DM14</f>
        <v>29148</v>
      </c>
      <c r="DP14" s="73">
        <f>DO14/DN14</f>
        <v>0.14606426266311212</v>
      </c>
      <c r="DR14" s="281" t="s">
        <v>172</v>
      </c>
      <c r="DS14" s="298"/>
      <c r="DT14" s="72">
        <v>18040</v>
      </c>
      <c r="DU14" s="72">
        <v>7434</v>
      </c>
      <c r="DV14" s="72">
        <f>DU14-DT14</f>
        <v>-10606</v>
      </c>
      <c r="DW14" s="73">
        <f>DV14/DU14</f>
        <v>-1.4266881894000538</v>
      </c>
      <c r="DX14" s="72">
        <f t="shared" si="11"/>
        <v>188448</v>
      </c>
      <c r="DY14" s="72">
        <f t="shared" si="11"/>
        <v>206990</v>
      </c>
      <c r="DZ14" s="87">
        <f>DY14-DX14</f>
        <v>18542</v>
      </c>
      <c r="EA14" s="73">
        <f>DZ14/DY14</f>
        <v>0.08957920672496256</v>
      </c>
      <c r="EC14" s="281" t="s">
        <v>172</v>
      </c>
      <c r="ED14" s="298"/>
      <c r="EE14" s="72">
        <v>9388</v>
      </c>
      <c r="EF14" s="72">
        <v>15560</v>
      </c>
      <c r="EG14" s="72">
        <f>EF14-EE14</f>
        <v>6172</v>
      </c>
      <c r="EH14" s="73">
        <f>EG14/EF14</f>
        <v>0.39665809768637533</v>
      </c>
      <c r="EI14" s="72">
        <f t="shared" si="12"/>
        <v>197836</v>
      </c>
      <c r="EJ14" s="72">
        <f t="shared" si="12"/>
        <v>222550</v>
      </c>
      <c r="EK14" s="87">
        <f>EJ14-EI14</f>
        <v>24714</v>
      </c>
      <c r="EL14" s="73">
        <f>EK14/EJ14</f>
        <v>0.11104920242642102</v>
      </c>
    </row>
    <row r="15" spans="1:142" ht="13.5" thickBot="1">
      <c r="A15" s="281" t="s">
        <v>173</v>
      </c>
      <c r="B15" s="298"/>
      <c r="C15" s="72">
        <v>3168</v>
      </c>
      <c r="D15" s="72">
        <v>3666</v>
      </c>
      <c r="E15" s="72">
        <f>D15-C15</f>
        <v>498</v>
      </c>
      <c r="F15" s="73">
        <f>E15/D15</f>
        <v>0.13584288052373159</v>
      </c>
      <c r="G15" s="72">
        <f t="shared" si="0"/>
        <v>3168</v>
      </c>
      <c r="H15" s="72">
        <f t="shared" si="0"/>
        <v>3666</v>
      </c>
      <c r="I15" s="87">
        <f>H15-G15</f>
        <v>498</v>
      </c>
      <c r="J15" s="73">
        <f>I15/H15</f>
        <v>0.13584288052373159</v>
      </c>
      <c r="L15" s="281" t="s">
        <v>173</v>
      </c>
      <c r="M15" s="298"/>
      <c r="N15" s="72">
        <v>3400</v>
      </c>
      <c r="O15" s="72">
        <v>1929</v>
      </c>
      <c r="P15" s="72">
        <f>O15-N15</f>
        <v>-1471</v>
      </c>
      <c r="Q15" s="73">
        <f>P15/O15</f>
        <v>-0.7625712804561949</v>
      </c>
      <c r="R15" s="72">
        <f t="shared" si="1"/>
        <v>6568</v>
      </c>
      <c r="S15" s="72">
        <f t="shared" si="1"/>
        <v>5595</v>
      </c>
      <c r="T15" s="87">
        <f>S15-R15</f>
        <v>-973</v>
      </c>
      <c r="U15" s="73">
        <f>T15/S15</f>
        <v>-0.17390527256479</v>
      </c>
      <c r="W15" s="281" t="s">
        <v>173</v>
      </c>
      <c r="X15" s="298"/>
      <c r="Y15" s="72">
        <v>2150</v>
      </c>
      <c r="Z15" s="72">
        <v>4640</v>
      </c>
      <c r="AA15" s="72">
        <f>Z15-Y15</f>
        <v>2490</v>
      </c>
      <c r="AB15" s="73">
        <f>AA15/Z15</f>
        <v>0.5366379310344828</v>
      </c>
      <c r="AC15" s="72">
        <f t="shared" si="2"/>
        <v>8718</v>
      </c>
      <c r="AD15" s="72">
        <f t="shared" si="2"/>
        <v>10235</v>
      </c>
      <c r="AE15" s="87">
        <f>AD15-AC15</f>
        <v>1517</v>
      </c>
      <c r="AF15" s="73">
        <f>AE15/AD15</f>
        <v>0.1482169027845628</v>
      </c>
      <c r="AH15" s="281" t="s">
        <v>173</v>
      </c>
      <c r="AI15" s="298"/>
      <c r="AJ15" s="72">
        <v>2134</v>
      </c>
      <c r="AK15" s="72">
        <v>2590</v>
      </c>
      <c r="AL15" s="72">
        <f>AK15-AJ15</f>
        <v>456</v>
      </c>
      <c r="AM15" s="73">
        <f>AL15/AK15</f>
        <v>0.17606177606177606</v>
      </c>
      <c r="AN15" s="72">
        <f t="shared" si="3"/>
        <v>10852</v>
      </c>
      <c r="AO15" s="72">
        <f t="shared" si="3"/>
        <v>12825</v>
      </c>
      <c r="AP15" s="87">
        <f>AO15-AN15</f>
        <v>1973</v>
      </c>
      <c r="AQ15" s="73">
        <f>AP15/AO15</f>
        <v>0.1538401559454191</v>
      </c>
      <c r="AS15" s="281" t="s">
        <v>173</v>
      </c>
      <c r="AT15" s="298"/>
      <c r="AU15" s="72">
        <v>2352</v>
      </c>
      <c r="AV15" s="72">
        <v>2445</v>
      </c>
      <c r="AW15" s="72">
        <f>AV15-AU15</f>
        <v>93</v>
      </c>
      <c r="AX15" s="73">
        <f>AW15/AV15</f>
        <v>0.03803680981595092</v>
      </c>
      <c r="AY15" s="72">
        <f t="shared" si="4"/>
        <v>13204</v>
      </c>
      <c r="AZ15" s="72">
        <f t="shared" si="4"/>
        <v>15270</v>
      </c>
      <c r="BA15" s="87">
        <f>AZ15-AY15</f>
        <v>2066</v>
      </c>
      <c r="BB15" s="73">
        <f>BA15/AZ15</f>
        <v>0.13529796987557302</v>
      </c>
      <c r="BD15" s="281" t="s">
        <v>173</v>
      </c>
      <c r="BE15" s="298"/>
      <c r="BF15" s="72">
        <v>3043</v>
      </c>
      <c r="BG15" s="72">
        <v>2000</v>
      </c>
      <c r="BH15" s="72">
        <f>BG15-BF15</f>
        <v>-1043</v>
      </c>
      <c r="BI15" s="73">
        <f>BH15/BG15</f>
        <v>-0.5215</v>
      </c>
      <c r="BJ15" s="72">
        <f t="shared" si="5"/>
        <v>16247</v>
      </c>
      <c r="BK15" s="72">
        <f t="shared" si="5"/>
        <v>17270</v>
      </c>
      <c r="BL15" s="87">
        <f>BK15-BJ15</f>
        <v>1023</v>
      </c>
      <c r="BM15" s="73">
        <f>BL15/BK15</f>
        <v>0.05923566878980892</v>
      </c>
      <c r="BO15" s="281" t="s">
        <v>173</v>
      </c>
      <c r="BP15" s="298"/>
      <c r="BQ15" s="72">
        <v>3184</v>
      </c>
      <c r="BR15" s="72">
        <v>5236</v>
      </c>
      <c r="BS15" s="72">
        <f>BR15-BQ15</f>
        <v>2052</v>
      </c>
      <c r="BT15" s="73">
        <f>BS15/BR15</f>
        <v>0.3919022154316272</v>
      </c>
      <c r="BU15" s="72">
        <f t="shared" si="6"/>
        <v>19431</v>
      </c>
      <c r="BV15" s="72">
        <f t="shared" si="6"/>
        <v>22506</v>
      </c>
      <c r="BW15" s="87">
        <f>BV15-BU15</f>
        <v>3075</v>
      </c>
      <c r="BX15" s="73">
        <f>BW15/BV15</f>
        <v>0.13663023193814983</v>
      </c>
      <c r="BZ15" s="281" t="s">
        <v>173</v>
      </c>
      <c r="CA15" s="298"/>
      <c r="CB15" s="72">
        <v>3021</v>
      </c>
      <c r="CC15" s="72">
        <v>3267</v>
      </c>
      <c r="CD15" s="72">
        <f>CC15-CB15</f>
        <v>246</v>
      </c>
      <c r="CE15" s="73">
        <f>CD15/CC15</f>
        <v>0.07529843893480258</v>
      </c>
      <c r="CF15" s="72">
        <f t="shared" si="7"/>
        <v>22452</v>
      </c>
      <c r="CG15" s="72">
        <f t="shared" si="7"/>
        <v>25773</v>
      </c>
      <c r="CH15" s="87">
        <f>CG15-CF15</f>
        <v>3321</v>
      </c>
      <c r="CI15" s="73">
        <f>CH15/CG15</f>
        <v>0.1288557793039227</v>
      </c>
      <c r="CK15" s="281" t="s">
        <v>173</v>
      </c>
      <c r="CL15" s="298"/>
      <c r="CM15" s="72">
        <v>3162</v>
      </c>
      <c r="CN15" s="72">
        <v>4140</v>
      </c>
      <c r="CO15" s="72">
        <f>CN15-CM15</f>
        <v>978</v>
      </c>
      <c r="CP15" s="73">
        <f>CO15/CN15</f>
        <v>0.23623188405797102</v>
      </c>
      <c r="CQ15" s="72">
        <f t="shared" si="8"/>
        <v>25614</v>
      </c>
      <c r="CR15" s="72">
        <f t="shared" si="8"/>
        <v>29913</v>
      </c>
      <c r="CS15" s="87">
        <f>CR15-CQ15</f>
        <v>4299</v>
      </c>
      <c r="CT15" s="73">
        <f>CS15/CR15</f>
        <v>0.1437167786581085</v>
      </c>
      <c r="CV15" s="281" t="s">
        <v>173</v>
      </c>
      <c r="CW15" s="298"/>
      <c r="CX15" s="72">
        <v>2630</v>
      </c>
      <c r="CY15" s="72">
        <v>3238</v>
      </c>
      <c r="CZ15" s="72">
        <f>CY15-CX15</f>
        <v>608</v>
      </c>
      <c r="DA15" s="73">
        <f>CZ15/CY15</f>
        <v>0.18777022853613343</v>
      </c>
      <c r="DB15" s="72">
        <f t="shared" si="9"/>
        <v>28244</v>
      </c>
      <c r="DC15" s="72">
        <f t="shared" si="9"/>
        <v>33151</v>
      </c>
      <c r="DD15" s="87">
        <f>DC15-DB15</f>
        <v>4907</v>
      </c>
      <c r="DE15" s="73">
        <f>DD15/DC15</f>
        <v>0.14801966758167173</v>
      </c>
      <c r="DG15" s="281" t="s">
        <v>173</v>
      </c>
      <c r="DH15" s="298"/>
      <c r="DI15" s="72">
        <v>2534</v>
      </c>
      <c r="DJ15" s="72">
        <v>2695</v>
      </c>
      <c r="DK15" s="72">
        <f>DJ15-DI15</f>
        <v>161</v>
      </c>
      <c r="DL15" s="73">
        <f>DK15/DJ15</f>
        <v>0.05974025974025974</v>
      </c>
      <c r="DM15" s="72">
        <f t="shared" si="10"/>
        <v>30778</v>
      </c>
      <c r="DN15" s="72">
        <f t="shared" si="10"/>
        <v>35846</v>
      </c>
      <c r="DO15" s="87">
        <f>DN15-DM15</f>
        <v>5068</v>
      </c>
      <c r="DP15" s="73">
        <f>DO15/DN15</f>
        <v>0.14138258104112034</v>
      </c>
      <c r="DR15" s="281" t="s">
        <v>173</v>
      </c>
      <c r="DS15" s="298"/>
      <c r="DT15" s="72">
        <v>980</v>
      </c>
      <c r="DU15" s="72">
        <v>1741</v>
      </c>
      <c r="DV15" s="72">
        <f>DU15-DT15</f>
        <v>761</v>
      </c>
      <c r="DW15" s="73">
        <f>DV15/DU15</f>
        <v>0.43710511200459506</v>
      </c>
      <c r="DX15" s="72">
        <f t="shared" si="11"/>
        <v>31758</v>
      </c>
      <c r="DY15" s="72">
        <f t="shared" si="11"/>
        <v>37587</v>
      </c>
      <c r="DZ15" s="87">
        <f>DY15-DX15</f>
        <v>5829</v>
      </c>
      <c r="EA15" s="73">
        <f>DZ15/DY15</f>
        <v>0.15508021390374332</v>
      </c>
      <c r="EC15" s="281" t="s">
        <v>173</v>
      </c>
      <c r="ED15" s="298"/>
      <c r="EE15" s="72">
        <v>5127</v>
      </c>
      <c r="EF15" s="72">
        <v>3423</v>
      </c>
      <c r="EG15" s="72">
        <f>EF15-EE15</f>
        <v>-1704</v>
      </c>
      <c r="EH15" s="73">
        <f>EG15/EF15</f>
        <v>-0.49780893952673094</v>
      </c>
      <c r="EI15" s="72">
        <f t="shared" si="12"/>
        <v>36885</v>
      </c>
      <c r="EJ15" s="72">
        <f t="shared" si="12"/>
        <v>41010</v>
      </c>
      <c r="EK15" s="87">
        <f>EJ15-EI15</f>
        <v>4125</v>
      </c>
      <c r="EL15" s="73">
        <f>EK15/EJ15</f>
        <v>0.1005852231163131</v>
      </c>
    </row>
    <row r="16" spans="1:142" ht="13.5" thickBot="1">
      <c r="A16" s="281" t="s">
        <v>174</v>
      </c>
      <c r="B16" s="298"/>
      <c r="C16" s="72">
        <v>3000</v>
      </c>
      <c r="D16" s="72">
        <v>0</v>
      </c>
      <c r="E16" s="72">
        <f>D16-C16</f>
        <v>-3000</v>
      </c>
      <c r="F16" s="73" t="e">
        <f>E16/D16</f>
        <v>#DIV/0!</v>
      </c>
      <c r="G16" s="72">
        <f t="shared" si="0"/>
        <v>3000</v>
      </c>
      <c r="H16" s="72">
        <f t="shared" si="0"/>
        <v>0</v>
      </c>
      <c r="I16" s="87">
        <f>H16-G16</f>
        <v>-3000</v>
      </c>
      <c r="J16" s="73" t="e">
        <f>I16/H16</f>
        <v>#DIV/0!</v>
      </c>
      <c r="L16" s="281" t="s">
        <v>174</v>
      </c>
      <c r="M16" s="298"/>
      <c r="N16" s="72">
        <v>1000</v>
      </c>
      <c r="O16" s="72">
        <v>426</v>
      </c>
      <c r="P16" s="72">
        <f>O16-N16</f>
        <v>-574</v>
      </c>
      <c r="Q16" s="73">
        <f>P16/O16</f>
        <v>-1.3474178403755868</v>
      </c>
      <c r="R16" s="72">
        <f t="shared" si="1"/>
        <v>4000</v>
      </c>
      <c r="S16" s="72">
        <f t="shared" si="1"/>
        <v>426</v>
      </c>
      <c r="T16" s="87">
        <f>S16-R16</f>
        <v>-3574</v>
      </c>
      <c r="U16" s="73">
        <f>T16/S16</f>
        <v>-8.389671361502348</v>
      </c>
      <c r="W16" s="281" t="s">
        <v>174</v>
      </c>
      <c r="X16" s="298"/>
      <c r="Y16" s="72">
        <v>1000</v>
      </c>
      <c r="Z16" s="72">
        <v>38</v>
      </c>
      <c r="AA16" s="72">
        <f>Z16-Y16</f>
        <v>-962</v>
      </c>
      <c r="AB16" s="73"/>
      <c r="AC16" s="72">
        <f t="shared" si="2"/>
        <v>5000</v>
      </c>
      <c r="AD16" s="72">
        <f t="shared" si="2"/>
        <v>464</v>
      </c>
      <c r="AE16" s="87">
        <f>AD16-AC16</f>
        <v>-4536</v>
      </c>
      <c r="AF16" s="73">
        <f>AE16/AD16</f>
        <v>-9.775862068965518</v>
      </c>
      <c r="AH16" s="281" t="s">
        <v>174</v>
      </c>
      <c r="AI16" s="298"/>
      <c r="AJ16" s="72">
        <v>2000</v>
      </c>
      <c r="AK16" s="72">
        <v>409</v>
      </c>
      <c r="AL16" s="72">
        <f>AK16-AJ16</f>
        <v>-1591</v>
      </c>
      <c r="AM16" s="73">
        <f>AL16/AK16</f>
        <v>-3.8899755501222493</v>
      </c>
      <c r="AN16" s="72">
        <f t="shared" si="3"/>
        <v>7000</v>
      </c>
      <c r="AO16" s="72">
        <f t="shared" si="3"/>
        <v>873</v>
      </c>
      <c r="AP16" s="87">
        <f>AO16-AN16</f>
        <v>-6127</v>
      </c>
      <c r="AQ16" s="73">
        <f>AP16/AO16</f>
        <v>-7.018327605956472</v>
      </c>
      <c r="AS16" s="281" t="s">
        <v>174</v>
      </c>
      <c r="AT16" s="298"/>
      <c r="AU16" s="72">
        <v>1000</v>
      </c>
      <c r="AV16" s="72">
        <v>94</v>
      </c>
      <c r="AW16" s="72">
        <f>AV16-AU16</f>
        <v>-906</v>
      </c>
      <c r="AX16" s="73">
        <f>AW16/AV16</f>
        <v>-9.638297872340425</v>
      </c>
      <c r="AY16" s="72">
        <f t="shared" si="4"/>
        <v>8000</v>
      </c>
      <c r="AZ16" s="72">
        <f t="shared" si="4"/>
        <v>967</v>
      </c>
      <c r="BA16" s="87">
        <f>AZ16-AY16</f>
        <v>-7033</v>
      </c>
      <c r="BB16" s="73">
        <f>BA16/AZ16</f>
        <v>-7.273009307135471</v>
      </c>
      <c r="BD16" s="281" t="s">
        <v>174</v>
      </c>
      <c r="BE16" s="298"/>
      <c r="BF16" s="72">
        <v>2000</v>
      </c>
      <c r="BG16" s="72">
        <v>5701</v>
      </c>
      <c r="BH16" s="72">
        <f>BG16-BF16</f>
        <v>3701</v>
      </c>
      <c r="BI16" s="73">
        <f>BH16/BG16</f>
        <v>0.6491843536221715</v>
      </c>
      <c r="BJ16" s="72">
        <f t="shared" si="5"/>
        <v>10000</v>
      </c>
      <c r="BK16" s="72">
        <f t="shared" si="5"/>
        <v>6668</v>
      </c>
      <c r="BL16" s="87">
        <f>BK16-BJ16</f>
        <v>-3332</v>
      </c>
      <c r="BM16" s="73">
        <f>BL16/BK16</f>
        <v>-0.4997000599880024</v>
      </c>
      <c r="BO16" s="281" t="s">
        <v>174</v>
      </c>
      <c r="BP16" s="298"/>
      <c r="BQ16" s="72">
        <v>3000</v>
      </c>
      <c r="BR16" s="72">
        <v>21</v>
      </c>
      <c r="BS16" s="72">
        <f>BR16-BQ16</f>
        <v>-2979</v>
      </c>
      <c r="BT16" s="73">
        <f>BS16/BR16</f>
        <v>-141.85714285714286</v>
      </c>
      <c r="BU16" s="72">
        <f t="shared" si="6"/>
        <v>13000</v>
      </c>
      <c r="BV16" s="72">
        <f t="shared" si="6"/>
        <v>6689</v>
      </c>
      <c r="BW16" s="87">
        <f>BV16-BU16</f>
        <v>-6311</v>
      </c>
      <c r="BX16" s="73">
        <f>BW16/BV16</f>
        <v>-0.9434893108087905</v>
      </c>
      <c r="BZ16" s="281" t="s">
        <v>174</v>
      </c>
      <c r="CA16" s="298"/>
      <c r="CB16" s="72">
        <v>3000</v>
      </c>
      <c r="CC16" s="72">
        <v>201</v>
      </c>
      <c r="CD16" s="72">
        <f>CC16-CB16</f>
        <v>-2799</v>
      </c>
      <c r="CE16" s="73">
        <f>CD16/CC16</f>
        <v>-13.925373134328359</v>
      </c>
      <c r="CF16" s="72">
        <f t="shared" si="7"/>
        <v>16000</v>
      </c>
      <c r="CG16" s="72">
        <f t="shared" si="7"/>
        <v>6890</v>
      </c>
      <c r="CH16" s="87">
        <f>CG16-CF16</f>
        <v>-9110</v>
      </c>
      <c r="CI16" s="73">
        <f>CH16/CG16</f>
        <v>-1.3222060957910013</v>
      </c>
      <c r="CK16" s="281" t="s">
        <v>174</v>
      </c>
      <c r="CL16" s="298"/>
      <c r="CM16" s="72">
        <v>2000</v>
      </c>
      <c r="CN16" s="72">
        <v>1417</v>
      </c>
      <c r="CO16" s="72">
        <f>CN16-CM16</f>
        <v>-583</v>
      </c>
      <c r="CP16" s="73">
        <f>CO16/CN16</f>
        <v>-0.4114326040931546</v>
      </c>
      <c r="CQ16" s="72">
        <f t="shared" si="8"/>
        <v>18000</v>
      </c>
      <c r="CR16" s="72">
        <f t="shared" si="8"/>
        <v>8307</v>
      </c>
      <c r="CS16" s="87">
        <f>CR16-CQ16</f>
        <v>-9693</v>
      </c>
      <c r="CT16" s="73">
        <f>CS16/CR16</f>
        <v>-1.1668472372697725</v>
      </c>
      <c r="CV16" s="281" t="s">
        <v>174</v>
      </c>
      <c r="CW16" s="298"/>
      <c r="CX16" s="72">
        <v>-3480</v>
      </c>
      <c r="CY16" s="72"/>
      <c r="CZ16" s="72">
        <f>CY16-CX16</f>
        <v>3480</v>
      </c>
      <c r="DA16" s="73"/>
      <c r="DB16" s="72">
        <f t="shared" si="9"/>
        <v>14520</v>
      </c>
      <c r="DC16" s="72">
        <f t="shared" si="9"/>
        <v>8307</v>
      </c>
      <c r="DD16" s="87">
        <f>DC16-DB16</f>
        <v>-6213</v>
      </c>
      <c r="DE16" s="73">
        <f>DD16/DC16</f>
        <v>-0.7479234380642832</v>
      </c>
      <c r="DG16" s="281" t="s">
        <v>174</v>
      </c>
      <c r="DH16" s="298"/>
      <c r="DI16" s="72">
        <v>-447</v>
      </c>
      <c r="DJ16" s="72">
        <v>-147</v>
      </c>
      <c r="DK16" s="72">
        <f>DJ16-DI16</f>
        <v>300</v>
      </c>
      <c r="DL16" s="73">
        <f>DK16/DJ16</f>
        <v>-2.0408163265306123</v>
      </c>
      <c r="DM16" s="72">
        <f t="shared" si="10"/>
        <v>14073</v>
      </c>
      <c r="DN16" s="72">
        <f t="shared" si="10"/>
        <v>8160</v>
      </c>
      <c r="DO16" s="87">
        <f>DN16-DM16</f>
        <v>-5913</v>
      </c>
      <c r="DP16" s="73">
        <f>DO16/DN16</f>
        <v>-0.7246323529411764</v>
      </c>
      <c r="DR16" s="281" t="s">
        <v>174</v>
      </c>
      <c r="DS16" s="298"/>
      <c r="DT16" s="72">
        <v>-14552</v>
      </c>
      <c r="DU16" s="72">
        <v>-2498</v>
      </c>
      <c r="DV16" s="72">
        <f>DU16-DT16</f>
        <v>12054</v>
      </c>
      <c r="DW16" s="73">
        <f>DV16/DU16</f>
        <v>-4.825460368294635</v>
      </c>
      <c r="DX16" s="72">
        <f t="shared" si="11"/>
        <v>-479</v>
      </c>
      <c r="DY16" s="72">
        <f t="shared" si="11"/>
        <v>5662</v>
      </c>
      <c r="DZ16" s="87">
        <f>DY16-DX16</f>
        <v>6141</v>
      </c>
      <c r="EA16" s="73">
        <f>DZ16/DY16</f>
        <v>1.084599081596609</v>
      </c>
      <c r="EC16" s="281" t="s">
        <v>174</v>
      </c>
      <c r="ED16" s="298"/>
      <c r="EE16" s="72">
        <v>0</v>
      </c>
      <c r="EF16" s="72">
        <v>-11053</v>
      </c>
      <c r="EG16" s="72">
        <f>EF16-EE16</f>
        <v>-11053</v>
      </c>
      <c r="EH16" s="73">
        <f>EG16/EF16</f>
        <v>1</v>
      </c>
      <c r="EI16" s="72">
        <f t="shared" si="12"/>
        <v>-479</v>
      </c>
      <c r="EJ16" s="72">
        <f t="shared" si="12"/>
        <v>-5391</v>
      </c>
      <c r="EK16" s="87">
        <f>EJ16-EI16</f>
        <v>-4912</v>
      </c>
      <c r="EL16" s="73">
        <f>EK16/EJ16</f>
        <v>0.9111482099795957</v>
      </c>
    </row>
    <row r="17" spans="1:142" ht="13.5" thickBot="1">
      <c r="A17" s="296" t="s">
        <v>26</v>
      </c>
      <c r="B17" s="297"/>
      <c r="C17" s="80">
        <f>SUM(C13:C16)-C16</f>
        <v>798639</v>
      </c>
      <c r="D17" s="80">
        <f>SUM(D13:D16)</f>
        <v>594742</v>
      </c>
      <c r="E17" s="80">
        <f>D17-C17</f>
        <v>-203897</v>
      </c>
      <c r="F17" s="108">
        <f>E17/D17</f>
        <v>-0.3428326904775516</v>
      </c>
      <c r="G17" s="80">
        <f>SUM(G13:G16)</f>
        <v>801639</v>
      </c>
      <c r="H17" s="80">
        <f>SUM(H13:H16)</f>
        <v>594742</v>
      </c>
      <c r="I17" s="109">
        <f>H17-G17</f>
        <v>-206897</v>
      </c>
      <c r="J17" s="108">
        <f>I17/H17</f>
        <v>-0.3478768945189679</v>
      </c>
      <c r="L17" s="296" t="s">
        <v>26</v>
      </c>
      <c r="M17" s="297"/>
      <c r="N17" s="80">
        <f>SUM(N13:N16)-N16</f>
        <v>515824</v>
      </c>
      <c r="O17" s="80">
        <f>SUM(O13:O16)-O16</f>
        <v>414437</v>
      </c>
      <c r="P17" s="80">
        <f>O17-N17</f>
        <v>-101387</v>
      </c>
      <c r="Q17" s="108">
        <f>P17/O17</f>
        <v>-0.24463790636453792</v>
      </c>
      <c r="R17" s="80">
        <f>SUM(R13:R16)-R16</f>
        <v>1314463</v>
      </c>
      <c r="S17" s="80">
        <f>SUM(S13:S16)-S16</f>
        <v>1009179</v>
      </c>
      <c r="T17" s="109">
        <f>S17-R17</f>
        <v>-305284</v>
      </c>
      <c r="U17" s="108">
        <f>T17/S17</f>
        <v>-0.30250728562524587</v>
      </c>
      <c r="W17" s="296" t="s">
        <v>26</v>
      </c>
      <c r="X17" s="297"/>
      <c r="Y17" s="80">
        <f>SUM(Y13:Y16)-Y16</f>
        <v>637028</v>
      </c>
      <c r="Z17" s="80">
        <f>SUM(Z13:Z16)-Z16</f>
        <v>392983</v>
      </c>
      <c r="AA17" s="80">
        <f>Z17-Y17</f>
        <v>-244045</v>
      </c>
      <c r="AB17" s="108">
        <f>AA17/Z17</f>
        <v>-0.621006506642781</v>
      </c>
      <c r="AC17" s="80">
        <f>SUM(AC13:AC16)-AC16</f>
        <v>1951491</v>
      </c>
      <c r="AD17" s="80">
        <f>SUM(AD13:AD16)-AD16</f>
        <v>1402162</v>
      </c>
      <c r="AE17" s="109">
        <f>AD17-AC17</f>
        <v>-549329</v>
      </c>
      <c r="AF17" s="108">
        <f>AE17/AD17</f>
        <v>-0.39177284793055295</v>
      </c>
      <c r="AH17" s="296" t="s">
        <v>26</v>
      </c>
      <c r="AI17" s="297"/>
      <c r="AJ17" s="80">
        <f>SUM(AJ13:AJ16)-AJ16</f>
        <v>501706</v>
      </c>
      <c r="AK17" s="80">
        <f>SUM(AK13:AK16)-AK16</f>
        <v>468024</v>
      </c>
      <c r="AL17" s="80">
        <f>AK17-AJ17</f>
        <v>-33682</v>
      </c>
      <c r="AM17" s="108">
        <f>AL17/AK17</f>
        <v>-0.07196639488573235</v>
      </c>
      <c r="AN17" s="80">
        <f>SUM(AN13:AN16)</f>
        <v>2460197</v>
      </c>
      <c r="AO17" s="80">
        <f>SUM(AO13:AO16)</f>
        <v>1871059</v>
      </c>
      <c r="AP17" s="109">
        <f>AO17-AN17</f>
        <v>-589138</v>
      </c>
      <c r="AQ17" s="108">
        <f>AP17/AO17</f>
        <v>-0.3148687454537778</v>
      </c>
      <c r="AS17" s="296" t="s">
        <v>26</v>
      </c>
      <c r="AT17" s="297"/>
      <c r="AU17" s="80">
        <f>SUM(AU13:AU16)-AU16</f>
        <v>527622</v>
      </c>
      <c r="AV17" s="80">
        <f>SUM(AV13:AV16)-AV16</f>
        <v>472148</v>
      </c>
      <c r="AW17" s="80">
        <f>AV17-AU17</f>
        <v>-55474</v>
      </c>
      <c r="AX17" s="108">
        <f>AW17/AV17</f>
        <v>-0.11749282004795107</v>
      </c>
      <c r="AY17" s="80">
        <f>SUM(AY13:AY16)-AY16</f>
        <v>2980819</v>
      </c>
      <c r="AZ17" s="80">
        <f>SUM(AZ13:AZ16)-AZ16</f>
        <v>2342334</v>
      </c>
      <c r="BA17" s="109">
        <f>AZ17-AY17</f>
        <v>-638485</v>
      </c>
      <c r="BB17" s="108">
        <f>BA17/AZ17</f>
        <v>-0.2725849515910199</v>
      </c>
      <c r="BD17" s="296" t="s">
        <v>26</v>
      </c>
      <c r="BE17" s="297"/>
      <c r="BF17" s="80">
        <f>SUM(BF13:BF16)-BF16</f>
        <v>531997</v>
      </c>
      <c r="BG17" s="80">
        <f>SUM(BG13:BG16)-BG16</f>
        <v>527170</v>
      </c>
      <c r="BH17" s="80">
        <f>BG17-BF17</f>
        <v>-4827</v>
      </c>
      <c r="BI17" s="108">
        <f>BH17/BG17</f>
        <v>-0.009156439099341768</v>
      </c>
      <c r="BJ17" s="80">
        <f>SUM(BJ13:BJ16)-BJ16</f>
        <v>3512816</v>
      </c>
      <c r="BK17" s="80">
        <f>SUM(BK13:BK16)-BK16</f>
        <v>2869504</v>
      </c>
      <c r="BL17" s="109">
        <f>BK17-BJ17</f>
        <v>-643312</v>
      </c>
      <c r="BM17" s="108">
        <f>BL17/BK17</f>
        <v>-0.2241892675528593</v>
      </c>
      <c r="BO17" s="296" t="s">
        <v>26</v>
      </c>
      <c r="BP17" s="297"/>
      <c r="BQ17" s="80">
        <f>SUM(BQ13:BQ16)-BQ16</f>
        <v>589476</v>
      </c>
      <c r="BR17" s="80">
        <f>SUM(BR13:BR16)-BR16</f>
        <v>452215</v>
      </c>
      <c r="BS17" s="80">
        <f>BR17-BQ17</f>
        <v>-137261</v>
      </c>
      <c r="BT17" s="108">
        <f>BS17/BR17</f>
        <v>-0.3035304003626594</v>
      </c>
      <c r="BU17" s="80">
        <f>SUM(BU13:BU16)-BU16</f>
        <v>4102292</v>
      </c>
      <c r="BV17" s="80">
        <f>SUM(BV13:BV16)-BV16</f>
        <v>3321719</v>
      </c>
      <c r="BW17" s="109">
        <f>BV17-BU17</f>
        <v>-780573</v>
      </c>
      <c r="BX17" s="108">
        <f>BW17/BV17</f>
        <v>-0.23499067801942308</v>
      </c>
      <c r="BZ17" s="296" t="s">
        <v>26</v>
      </c>
      <c r="CA17" s="297"/>
      <c r="CB17" s="80">
        <f>SUM(CB13:CB16)-CB16</f>
        <v>585835</v>
      </c>
      <c r="CC17" s="80">
        <f>SUM(CC13:CC16)-CC16</f>
        <v>561585</v>
      </c>
      <c r="CD17" s="80">
        <f>CC17-CB17</f>
        <v>-24250</v>
      </c>
      <c r="CE17" s="108">
        <f>CD17/CC17</f>
        <v>-0.04318135277829714</v>
      </c>
      <c r="CF17" s="80">
        <f>SUM(CF13:CF16)-CF16</f>
        <v>4688127</v>
      </c>
      <c r="CG17" s="80">
        <f>SUM(CG13:CG16)-CG16</f>
        <v>3883304</v>
      </c>
      <c r="CH17" s="109">
        <f>CG17-CF17</f>
        <v>-804823</v>
      </c>
      <c r="CI17" s="108">
        <f>CH17/CG17</f>
        <v>-0.20725212344951618</v>
      </c>
      <c r="CK17" s="296" t="s">
        <v>26</v>
      </c>
      <c r="CL17" s="297"/>
      <c r="CM17" s="80">
        <f>SUM(CM13:CM16)-CM16</f>
        <v>602096</v>
      </c>
      <c r="CN17" s="80">
        <f>SUM(CN13:CN16)-CN16</f>
        <v>580933</v>
      </c>
      <c r="CO17" s="80">
        <f>CN17-CM17</f>
        <v>-21163</v>
      </c>
      <c r="CP17" s="108">
        <f>CO17/CN17</f>
        <v>-0.03642933006043726</v>
      </c>
      <c r="CQ17" s="80">
        <f>SUM(CQ13:CQ16)-CQ16</f>
        <v>5290223</v>
      </c>
      <c r="CR17" s="80">
        <f>SUM(CR13:CR16)-CR16</f>
        <v>4464237</v>
      </c>
      <c r="CS17" s="109">
        <f>CR17-CQ17</f>
        <v>-825986</v>
      </c>
      <c r="CT17" s="108">
        <f>CS17/CR17</f>
        <v>-0.18502288296969896</v>
      </c>
      <c r="CV17" s="296" t="s">
        <v>26</v>
      </c>
      <c r="CW17" s="297"/>
      <c r="CX17" s="80">
        <f>SUM(CX13:CX16)</f>
        <v>479619</v>
      </c>
      <c r="CY17" s="80">
        <f>SUM(CY13:CY16)</f>
        <v>412664</v>
      </c>
      <c r="CZ17" s="80">
        <f>CY17-CX17</f>
        <v>-66955</v>
      </c>
      <c r="DA17" s="108">
        <f>CZ17/CY17</f>
        <v>-0.1622506445922106</v>
      </c>
      <c r="DB17" s="80">
        <f>SUM(DB13:DB16)</f>
        <v>5787842</v>
      </c>
      <c r="DC17" s="80">
        <f>SUM(DC13:DC16)</f>
        <v>4885208</v>
      </c>
      <c r="DD17" s="109">
        <f>DC17-DB17</f>
        <v>-902634</v>
      </c>
      <c r="DE17" s="108">
        <f>DD17/DC17</f>
        <v>-0.18476879592434958</v>
      </c>
      <c r="DG17" s="296" t="s">
        <v>26</v>
      </c>
      <c r="DH17" s="297"/>
      <c r="DI17" s="80">
        <f>SUM(DI13:DI16)</f>
        <v>707098</v>
      </c>
      <c r="DJ17" s="80">
        <f>SUM(DJ13:DJ16)</f>
        <v>455284</v>
      </c>
      <c r="DK17" s="80">
        <f>DJ17-DI17</f>
        <v>-251814</v>
      </c>
      <c r="DL17" s="108">
        <f>DK17/DJ17</f>
        <v>-0.5530921358975935</v>
      </c>
      <c r="DM17" s="80">
        <f>SUM(DM13:DM16)</f>
        <v>6494940</v>
      </c>
      <c r="DN17" s="80">
        <f>SUM(DN13:DN16)</f>
        <v>5340492</v>
      </c>
      <c r="DO17" s="109">
        <f>DN17-DM17</f>
        <v>-1154448</v>
      </c>
      <c r="DP17" s="108">
        <f>DO17/DN17</f>
        <v>-0.21616884736462483</v>
      </c>
      <c r="DR17" s="296" t="s">
        <v>26</v>
      </c>
      <c r="DS17" s="297"/>
      <c r="DT17" s="80">
        <f>SUM(DT13:DT16)</f>
        <v>560364</v>
      </c>
      <c r="DU17" s="80">
        <f>SUM(DU13:DU16)</f>
        <v>427038</v>
      </c>
      <c r="DV17" s="80">
        <f>DU17-DT17</f>
        <v>-133326</v>
      </c>
      <c r="DW17" s="108">
        <f>DV17/DU17</f>
        <v>-0.3122110912846164</v>
      </c>
      <c r="DX17" s="80">
        <f>SUM(DX13:DX16)</f>
        <v>7055304</v>
      </c>
      <c r="DY17" s="80">
        <f>SUM(DY13:DY16)</f>
        <v>5767530</v>
      </c>
      <c r="DZ17" s="109">
        <f>DY17-DX17</f>
        <v>-1287774</v>
      </c>
      <c r="EA17" s="108">
        <f>DZ17/DY17</f>
        <v>-0.22327998293897042</v>
      </c>
      <c r="EC17" s="296" t="s">
        <v>26</v>
      </c>
      <c r="ED17" s="297"/>
      <c r="EE17" s="80">
        <f>SUM(EE13:EE16)</f>
        <v>474088</v>
      </c>
      <c r="EF17" s="80">
        <f>SUM(EF13:EF16)</f>
        <v>530938</v>
      </c>
      <c r="EG17" s="80">
        <f>EF17-EE17</f>
        <v>56850</v>
      </c>
      <c r="EH17" s="108">
        <f>EG17/EF17</f>
        <v>0.1070746490173994</v>
      </c>
      <c r="EI17" s="80">
        <f>SUM(EI13:EI16)</f>
        <v>7529392</v>
      </c>
      <c r="EJ17" s="80">
        <f>SUM(EJ13:EJ16)</f>
        <v>6298468</v>
      </c>
      <c r="EK17" s="109">
        <f>EJ17-EI17</f>
        <v>-1230924</v>
      </c>
      <c r="EL17" s="108">
        <f>EK17/EJ17</f>
        <v>-0.19543228607337532</v>
      </c>
    </row>
    <row r="19" ht="13.5" thickBot="1"/>
    <row r="20" spans="1:142" ht="13.5" thickBot="1">
      <c r="A20" s="70"/>
      <c r="C20" s="270" t="s">
        <v>197</v>
      </c>
      <c r="D20" s="500" t="s">
        <v>196</v>
      </c>
      <c r="E20" s="498"/>
      <c r="F20" s="499"/>
      <c r="G20" s="270" t="s">
        <v>2</v>
      </c>
      <c r="H20" s="500" t="s">
        <v>198</v>
      </c>
      <c r="I20" s="498"/>
      <c r="J20" s="499"/>
      <c r="L20" s="70"/>
      <c r="N20" s="270" t="s">
        <v>197</v>
      </c>
      <c r="O20" s="500" t="s">
        <v>196</v>
      </c>
      <c r="P20" s="498"/>
      <c r="Q20" s="499"/>
      <c r="R20" s="270" t="s">
        <v>2</v>
      </c>
      <c r="S20" s="500" t="s">
        <v>198</v>
      </c>
      <c r="T20" s="498"/>
      <c r="U20" s="499"/>
      <c r="W20" s="70"/>
      <c r="Y20" s="270" t="s">
        <v>197</v>
      </c>
      <c r="Z20" s="497" t="s">
        <v>196</v>
      </c>
      <c r="AA20" s="498"/>
      <c r="AB20" s="499"/>
      <c r="AC20" s="270" t="s">
        <v>2</v>
      </c>
      <c r="AD20" s="500" t="s">
        <v>198</v>
      </c>
      <c r="AE20" s="498"/>
      <c r="AF20" s="499"/>
      <c r="AH20" s="70"/>
      <c r="AJ20" s="270" t="s">
        <v>197</v>
      </c>
      <c r="AK20" s="500" t="s">
        <v>230</v>
      </c>
      <c r="AL20" s="498"/>
      <c r="AM20" s="499"/>
      <c r="AN20" s="270" t="s">
        <v>2</v>
      </c>
      <c r="AO20" s="500" t="s">
        <v>234</v>
      </c>
      <c r="AP20" s="498"/>
      <c r="AQ20" s="499"/>
      <c r="AS20" s="70"/>
      <c r="AU20" s="270" t="s">
        <v>197</v>
      </c>
      <c r="AV20" s="500" t="s">
        <v>242</v>
      </c>
      <c r="AW20" s="498"/>
      <c r="AX20" s="499"/>
      <c r="AY20" s="270" t="s">
        <v>2</v>
      </c>
      <c r="AZ20" s="500" t="s">
        <v>234</v>
      </c>
      <c r="BA20" s="498"/>
      <c r="BB20" s="499"/>
      <c r="BD20" s="70"/>
      <c r="BF20" s="270" t="s">
        <v>197</v>
      </c>
      <c r="BG20" s="500" t="s">
        <v>230</v>
      </c>
      <c r="BH20" s="498"/>
      <c r="BI20" s="499"/>
      <c r="BJ20" s="270" t="s">
        <v>2</v>
      </c>
      <c r="BK20" s="500" t="s">
        <v>234</v>
      </c>
      <c r="BL20" s="498"/>
      <c r="BM20" s="499"/>
      <c r="BO20" s="70"/>
      <c r="BQ20" s="270" t="s">
        <v>197</v>
      </c>
      <c r="BR20" s="500" t="s">
        <v>230</v>
      </c>
      <c r="BS20" s="498"/>
      <c r="BT20" s="499"/>
      <c r="BU20" s="270" t="s">
        <v>2</v>
      </c>
      <c r="BV20" s="500" t="s">
        <v>234</v>
      </c>
      <c r="BW20" s="498"/>
      <c r="BX20" s="499"/>
      <c r="BZ20" s="70"/>
      <c r="CB20" s="270" t="s">
        <v>197</v>
      </c>
      <c r="CC20" s="497" t="s">
        <v>196</v>
      </c>
      <c r="CD20" s="498"/>
      <c r="CE20" s="499"/>
      <c r="CF20" s="270" t="s">
        <v>2</v>
      </c>
      <c r="CG20" s="500" t="s">
        <v>198</v>
      </c>
      <c r="CH20" s="498"/>
      <c r="CI20" s="499"/>
      <c r="CK20" s="70"/>
      <c r="CM20" s="270" t="s">
        <v>132</v>
      </c>
      <c r="CN20" s="497" t="s">
        <v>196</v>
      </c>
      <c r="CO20" s="498"/>
      <c r="CP20" s="499"/>
      <c r="CQ20" s="270" t="s">
        <v>2</v>
      </c>
      <c r="CR20" s="500" t="s">
        <v>198</v>
      </c>
      <c r="CS20" s="498"/>
      <c r="CT20" s="499"/>
      <c r="CV20" s="70"/>
      <c r="CX20" s="270" t="s">
        <v>132</v>
      </c>
      <c r="CY20" s="497" t="s">
        <v>111</v>
      </c>
      <c r="CZ20" s="498"/>
      <c r="DA20" s="499"/>
      <c r="DB20" s="270" t="s">
        <v>2</v>
      </c>
      <c r="DC20" s="500" t="s">
        <v>149</v>
      </c>
      <c r="DD20" s="498"/>
      <c r="DE20" s="499"/>
      <c r="DG20" s="70"/>
      <c r="DI20" s="270" t="s">
        <v>132</v>
      </c>
      <c r="DJ20" s="497" t="s">
        <v>111</v>
      </c>
      <c r="DK20" s="498"/>
      <c r="DL20" s="499"/>
      <c r="DM20" s="270" t="s">
        <v>2</v>
      </c>
      <c r="DN20" s="500" t="s">
        <v>149</v>
      </c>
      <c r="DO20" s="498"/>
      <c r="DP20" s="499"/>
      <c r="DR20" s="70"/>
      <c r="DT20" s="270" t="s">
        <v>132</v>
      </c>
      <c r="DU20" s="497" t="s">
        <v>111</v>
      </c>
      <c r="DV20" s="498"/>
      <c r="DW20" s="499"/>
      <c r="DX20" s="270" t="s">
        <v>2</v>
      </c>
      <c r="DY20" s="500" t="s">
        <v>149</v>
      </c>
      <c r="DZ20" s="498"/>
      <c r="EA20" s="499"/>
      <c r="EC20" s="70"/>
      <c r="EE20" s="270" t="s">
        <v>132</v>
      </c>
      <c r="EF20" s="497" t="s">
        <v>111</v>
      </c>
      <c r="EG20" s="498"/>
      <c r="EH20" s="499"/>
      <c r="EI20" s="270" t="s">
        <v>2</v>
      </c>
      <c r="EJ20" s="500" t="s">
        <v>149</v>
      </c>
      <c r="EK20" s="498"/>
      <c r="EL20" s="499"/>
    </row>
    <row r="21" spans="3:142" ht="12.75">
      <c r="C21" s="273" t="s">
        <v>3</v>
      </c>
      <c r="D21" s="273" t="s">
        <v>3</v>
      </c>
      <c r="E21" s="273" t="s">
        <v>18</v>
      </c>
      <c r="F21" s="273" t="s">
        <v>10</v>
      </c>
      <c r="G21" s="339" t="s">
        <v>199</v>
      </c>
      <c r="H21" s="284" t="s">
        <v>67</v>
      </c>
      <c r="I21" s="273" t="s">
        <v>18</v>
      </c>
      <c r="J21" s="273" t="s">
        <v>10</v>
      </c>
      <c r="N21" s="273" t="s">
        <v>3</v>
      </c>
      <c r="O21" s="273" t="s">
        <v>3</v>
      </c>
      <c r="P21" s="273" t="s">
        <v>18</v>
      </c>
      <c r="Q21" s="273" t="s">
        <v>10</v>
      </c>
      <c r="R21" s="273" t="s">
        <v>197</v>
      </c>
      <c r="S21" s="273" t="s">
        <v>132</v>
      </c>
      <c r="T21" s="273" t="s">
        <v>18</v>
      </c>
      <c r="U21" s="273" t="s">
        <v>10</v>
      </c>
      <c r="Y21" s="273" t="s">
        <v>3</v>
      </c>
      <c r="Z21" s="273" t="s">
        <v>3</v>
      </c>
      <c r="AA21" s="273" t="s">
        <v>18</v>
      </c>
      <c r="AB21" s="273" t="s">
        <v>10</v>
      </c>
      <c r="AC21" s="300" t="s">
        <v>201</v>
      </c>
      <c r="AD21" s="300" t="s">
        <v>67</v>
      </c>
      <c r="AE21" s="273" t="s">
        <v>18</v>
      </c>
      <c r="AF21" s="273" t="s">
        <v>10</v>
      </c>
      <c r="AJ21" s="273" t="s">
        <v>3</v>
      </c>
      <c r="AK21" s="273" t="s">
        <v>3</v>
      </c>
      <c r="AL21" s="273" t="s">
        <v>18</v>
      </c>
      <c r="AM21" s="273" t="s">
        <v>10</v>
      </c>
      <c r="AN21" s="300" t="s">
        <v>201</v>
      </c>
      <c r="AO21" s="300" t="s">
        <v>67</v>
      </c>
      <c r="AP21" s="273" t="s">
        <v>18</v>
      </c>
      <c r="AQ21" s="273" t="s">
        <v>10</v>
      </c>
      <c r="AU21" s="273" t="s">
        <v>3</v>
      </c>
      <c r="AV21" s="273" t="s">
        <v>3</v>
      </c>
      <c r="AW21" s="273" t="s">
        <v>18</v>
      </c>
      <c r="AX21" s="273" t="s">
        <v>10</v>
      </c>
      <c r="AY21" s="300" t="s">
        <v>201</v>
      </c>
      <c r="AZ21" s="300" t="s">
        <v>67</v>
      </c>
      <c r="BA21" s="273" t="s">
        <v>18</v>
      </c>
      <c r="BB21" s="273" t="s">
        <v>10</v>
      </c>
      <c r="BF21" s="273" t="s">
        <v>3</v>
      </c>
      <c r="BG21" s="273" t="s">
        <v>3</v>
      </c>
      <c r="BH21" s="273" t="s">
        <v>18</v>
      </c>
      <c r="BI21" s="273" t="s">
        <v>10</v>
      </c>
      <c r="BJ21" s="300" t="s">
        <v>201</v>
      </c>
      <c r="BK21" s="300" t="s">
        <v>67</v>
      </c>
      <c r="BL21" s="273" t="s">
        <v>18</v>
      </c>
      <c r="BM21" s="273" t="s">
        <v>10</v>
      </c>
      <c r="BQ21" s="273" t="s">
        <v>3</v>
      </c>
      <c r="BR21" s="273" t="s">
        <v>3</v>
      </c>
      <c r="BS21" s="273" t="s">
        <v>18</v>
      </c>
      <c r="BT21" s="273" t="s">
        <v>10</v>
      </c>
      <c r="BU21" s="300" t="s">
        <v>201</v>
      </c>
      <c r="BV21" s="300" t="s">
        <v>67</v>
      </c>
      <c r="BW21" s="273" t="s">
        <v>18</v>
      </c>
      <c r="BX21" s="273" t="s">
        <v>10</v>
      </c>
      <c r="CB21" s="273" t="s">
        <v>3</v>
      </c>
      <c r="CC21" s="273" t="s">
        <v>3</v>
      </c>
      <c r="CD21" s="273" t="s">
        <v>18</v>
      </c>
      <c r="CE21" s="273" t="s">
        <v>10</v>
      </c>
      <c r="CF21" s="300" t="s">
        <v>201</v>
      </c>
      <c r="CG21" s="300" t="s">
        <v>67</v>
      </c>
      <c r="CH21" s="273" t="s">
        <v>18</v>
      </c>
      <c r="CI21" s="273" t="s">
        <v>10</v>
      </c>
      <c r="CM21" s="273" t="s">
        <v>3</v>
      </c>
      <c r="CN21" s="273" t="s">
        <v>3</v>
      </c>
      <c r="CO21" s="273" t="s">
        <v>18</v>
      </c>
      <c r="CP21" s="273" t="s">
        <v>10</v>
      </c>
      <c r="CQ21" s="300" t="s">
        <v>201</v>
      </c>
      <c r="CR21" s="300" t="s">
        <v>67</v>
      </c>
      <c r="CS21" s="273" t="s">
        <v>18</v>
      </c>
      <c r="CT21" s="273" t="s">
        <v>10</v>
      </c>
      <c r="CX21" s="273" t="s">
        <v>3</v>
      </c>
      <c r="CY21" s="273" t="s">
        <v>3</v>
      </c>
      <c r="CZ21" s="273" t="s">
        <v>18</v>
      </c>
      <c r="DA21" s="273" t="s">
        <v>10</v>
      </c>
      <c r="DB21" s="300" t="s">
        <v>67</v>
      </c>
      <c r="DC21" s="273" t="s">
        <v>5</v>
      </c>
      <c r="DD21" s="273" t="s">
        <v>18</v>
      </c>
      <c r="DE21" s="273" t="s">
        <v>10</v>
      </c>
      <c r="DI21" s="273" t="s">
        <v>3</v>
      </c>
      <c r="DJ21" s="273" t="s">
        <v>3</v>
      </c>
      <c r="DK21" s="273" t="s">
        <v>18</v>
      </c>
      <c r="DL21" s="273" t="s">
        <v>10</v>
      </c>
      <c r="DM21" s="300" t="s">
        <v>67</v>
      </c>
      <c r="DN21" s="273" t="s">
        <v>5</v>
      </c>
      <c r="DO21" s="273" t="s">
        <v>18</v>
      </c>
      <c r="DP21" s="273" t="s">
        <v>10</v>
      </c>
      <c r="DT21" s="273" t="s">
        <v>3</v>
      </c>
      <c r="DU21" s="273" t="s">
        <v>3</v>
      </c>
      <c r="DV21" s="273" t="s">
        <v>18</v>
      </c>
      <c r="DW21" s="273" t="s">
        <v>10</v>
      </c>
      <c r="DX21" s="300" t="s">
        <v>67</v>
      </c>
      <c r="DY21" s="273" t="s">
        <v>5</v>
      </c>
      <c r="DZ21" s="273" t="s">
        <v>18</v>
      </c>
      <c r="EA21" s="273" t="s">
        <v>10</v>
      </c>
      <c r="EE21" s="273" t="s">
        <v>3</v>
      </c>
      <c r="EF21" s="273" t="s">
        <v>3</v>
      </c>
      <c r="EG21" s="273" t="s">
        <v>18</v>
      </c>
      <c r="EH21" s="273" t="s">
        <v>10</v>
      </c>
      <c r="EI21" s="300" t="s">
        <v>67</v>
      </c>
      <c r="EJ21" s="273" t="s">
        <v>5</v>
      </c>
      <c r="EK21" s="273" t="s">
        <v>18</v>
      </c>
      <c r="EL21" s="273" t="s">
        <v>10</v>
      </c>
    </row>
    <row r="22" spans="3:142" ht="13.5" thickBot="1">
      <c r="C22" s="237" t="s">
        <v>110</v>
      </c>
      <c r="D22" s="276" t="s">
        <v>132</v>
      </c>
      <c r="E22" s="276"/>
      <c r="F22" s="276"/>
      <c r="G22" s="276" t="s">
        <v>3</v>
      </c>
      <c r="H22" s="276" t="s">
        <v>3</v>
      </c>
      <c r="I22" s="291"/>
      <c r="J22" s="282"/>
      <c r="N22" s="237" t="s">
        <v>113</v>
      </c>
      <c r="O22" s="276" t="s">
        <v>132</v>
      </c>
      <c r="P22" s="276"/>
      <c r="Q22" s="276"/>
      <c r="R22" s="276" t="s">
        <v>3</v>
      </c>
      <c r="S22" s="276" t="s">
        <v>3</v>
      </c>
      <c r="T22" s="291"/>
      <c r="U22" s="282"/>
      <c r="Y22" s="237" t="s">
        <v>114</v>
      </c>
      <c r="Z22" s="299" t="s">
        <v>67</v>
      </c>
      <c r="AA22" s="276"/>
      <c r="AB22" s="276"/>
      <c r="AC22" s="276" t="s">
        <v>3</v>
      </c>
      <c r="AD22" s="276" t="s">
        <v>3</v>
      </c>
      <c r="AE22" s="291"/>
      <c r="AF22" s="282"/>
      <c r="AJ22" s="237" t="s">
        <v>115</v>
      </c>
      <c r="AK22" s="299" t="s">
        <v>67</v>
      </c>
      <c r="AL22" s="276"/>
      <c r="AM22" s="276"/>
      <c r="AN22" s="276" t="s">
        <v>3</v>
      </c>
      <c r="AO22" s="276" t="s">
        <v>3</v>
      </c>
      <c r="AP22" s="291"/>
      <c r="AQ22" s="282"/>
      <c r="AU22" s="237" t="s">
        <v>116</v>
      </c>
      <c r="AV22" s="299" t="s">
        <v>67</v>
      </c>
      <c r="AW22" s="276"/>
      <c r="AX22" s="276"/>
      <c r="AY22" s="276" t="s">
        <v>3</v>
      </c>
      <c r="AZ22" s="276" t="s">
        <v>3</v>
      </c>
      <c r="BA22" s="291"/>
      <c r="BB22" s="282"/>
      <c r="BF22" s="237" t="s">
        <v>117</v>
      </c>
      <c r="BG22" s="299" t="s">
        <v>67</v>
      </c>
      <c r="BH22" s="276"/>
      <c r="BI22" s="276"/>
      <c r="BJ22" s="276" t="s">
        <v>3</v>
      </c>
      <c r="BK22" s="276" t="s">
        <v>3</v>
      </c>
      <c r="BL22" s="291"/>
      <c r="BM22" s="282"/>
      <c r="BQ22" s="237" t="s">
        <v>118</v>
      </c>
      <c r="BR22" s="427" t="s">
        <v>67</v>
      </c>
      <c r="BS22" s="276"/>
      <c r="BT22" s="276"/>
      <c r="BU22" s="276" t="s">
        <v>3</v>
      </c>
      <c r="BV22" s="276" t="s">
        <v>3</v>
      </c>
      <c r="BW22" s="291"/>
      <c r="BX22" s="282"/>
      <c r="CB22" s="237" t="s">
        <v>119</v>
      </c>
      <c r="CC22" s="299" t="s">
        <v>67</v>
      </c>
      <c r="CD22" s="276"/>
      <c r="CE22" s="276"/>
      <c r="CF22" s="276" t="s">
        <v>3</v>
      </c>
      <c r="CG22" s="276" t="s">
        <v>3</v>
      </c>
      <c r="CH22" s="291"/>
      <c r="CI22" s="282"/>
      <c r="CM22" s="237" t="s">
        <v>120</v>
      </c>
      <c r="CN22" s="299" t="s">
        <v>67</v>
      </c>
      <c r="CO22" s="276"/>
      <c r="CP22" s="276"/>
      <c r="CQ22" s="276" t="s">
        <v>3</v>
      </c>
      <c r="CR22" s="276" t="s">
        <v>3</v>
      </c>
      <c r="CS22" s="291"/>
      <c r="CT22" s="282"/>
      <c r="CX22" s="237" t="s">
        <v>121</v>
      </c>
      <c r="CY22" s="276" t="s">
        <v>5</v>
      </c>
      <c r="CZ22" s="276"/>
      <c r="DA22" s="276"/>
      <c r="DB22" s="276" t="s">
        <v>3</v>
      </c>
      <c r="DC22" s="276" t="s">
        <v>3</v>
      </c>
      <c r="DD22" s="291"/>
      <c r="DE22" s="282"/>
      <c r="DI22" s="237" t="s">
        <v>122</v>
      </c>
      <c r="DJ22" s="276" t="s">
        <v>5</v>
      </c>
      <c r="DK22" s="276"/>
      <c r="DL22" s="276"/>
      <c r="DM22" s="276" t="s">
        <v>3</v>
      </c>
      <c r="DN22" s="276" t="s">
        <v>3</v>
      </c>
      <c r="DO22" s="291"/>
      <c r="DP22" s="282"/>
      <c r="DT22" s="237" t="s">
        <v>123</v>
      </c>
      <c r="DU22" s="276" t="s">
        <v>5</v>
      </c>
      <c r="DV22" s="276"/>
      <c r="DW22" s="276"/>
      <c r="DX22" s="276" t="s">
        <v>3</v>
      </c>
      <c r="DY22" s="276" t="s">
        <v>3</v>
      </c>
      <c r="DZ22" s="291"/>
      <c r="EA22" s="282"/>
      <c r="EE22" s="237" t="s">
        <v>1</v>
      </c>
      <c r="EF22" s="276" t="s">
        <v>5</v>
      </c>
      <c r="EG22" s="276"/>
      <c r="EH22" s="276"/>
      <c r="EI22" s="276" t="s">
        <v>3</v>
      </c>
      <c r="EJ22" s="276" t="s">
        <v>3</v>
      </c>
      <c r="EK22" s="291"/>
      <c r="EL22" s="282"/>
    </row>
    <row r="23" spans="1:142" ht="13.5" thickBot="1">
      <c r="A23" s="281" t="s">
        <v>175</v>
      </c>
      <c r="B23" s="298">
        <v>2900</v>
      </c>
      <c r="C23" s="72">
        <v>643530</v>
      </c>
      <c r="D23" s="72">
        <v>735888</v>
      </c>
      <c r="E23" s="72">
        <f>D23-C23</f>
        <v>92358</v>
      </c>
      <c r="F23" s="73">
        <f>E23/D23</f>
        <v>0.12550551170830343</v>
      </c>
      <c r="G23" s="72">
        <f aca="true" t="shared" si="13" ref="G23:H26">SUM(C23)</f>
        <v>643530</v>
      </c>
      <c r="H23" s="72">
        <f t="shared" si="13"/>
        <v>735888</v>
      </c>
      <c r="I23" s="87">
        <f>H23-G23</f>
        <v>92358</v>
      </c>
      <c r="J23" s="73">
        <f>I23/H23</f>
        <v>0.12550551170830343</v>
      </c>
      <c r="L23" s="281" t="s">
        <v>175</v>
      </c>
      <c r="M23" s="298">
        <v>2900</v>
      </c>
      <c r="N23" s="72">
        <v>576122</v>
      </c>
      <c r="O23" s="72">
        <v>463486</v>
      </c>
      <c r="P23" s="72">
        <f>O23-N23</f>
        <v>-112636</v>
      </c>
      <c r="Q23" s="73">
        <f>P23/O23</f>
        <v>-0.24301920662112772</v>
      </c>
      <c r="R23" s="72">
        <f aca="true" t="shared" si="14" ref="R23:S26">SUM(G23+N23)</f>
        <v>1219652</v>
      </c>
      <c r="S23" s="72">
        <f t="shared" si="14"/>
        <v>1199374</v>
      </c>
      <c r="T23" s="87">
        <f>S23-R23</f>
        <v>-20278</v>
      </c>
      <c r="U23" s="73">
        <f>T23/S23</f>
        <v>-0.016907153231602485</v>
      </c>
      <c r="W23" s="281" t="s">
        <v>175</v>
      </c>
      <c r="X23" s="298">
        <v>2900</v>
      </c>
      <c r="Y23" s="72">
        <v>522860</v>
      </c>
      <c r="Z23" s="72">
        <v>611670</v>
      </c>
      <c r="AA23" s="72">
        <f>Z23-Y23</f>
        <v>88810</v>
      </c>
      <c r="AB23" s="73">
        <f>AA23/Z23</f>
        <v>0.14519266924975885</v>
      </c>
      <c r="AC23" s="72">
        <f aca="true" t="shared" si="15" ref="AC23:AD26">SUM(R23+Y23)</f>
        <v>1742512</v>
      </c>
      <c r="AD23" s="72">
        <f t="shared" si="15"/>
        <v>1811044</v>
      </c>
      <c r="AE23" s="87">
        <f>AD23-AC23</f>
        <v>68532</v>
      </c>
      <c r="AF23" s="73">
        <f>AE23/AD23</f>
        <v>0.03784115681341812</v>
      </c>
      <c r="AH23" s="281" t="s">
        <v>175</v>
      </c>
      <c r="AI23" s="298">
        <v>2900</v>
      </c>
      <c r="AJ23" s="72">
        <v>485380</v>
      </c>
      <c r="AK23" s="72">
        <v>440401</v>
      </c>
      <c r="AL23" s="72">
        <f>AK23-AJ23</f>
        <v>-44979</v>
      </c>
      <c r="AM23" s="73">
        <f>AL23/AK23</f>
        <v>-0.10213192068137901</v>
      </c>
      <c r="AN23" s="72">
        <f aca="true" t="shared" si="16" ref="AN23:AO26">SUM(AC23+AJ23)</f>
        <v>2227892</v>
      </c>
      <c r="AO23" s="72">
        <f t="shared" si="16"/>
        <v>2251445</v>
      </c>
      <c r="AP23" s="87">
        <f>AO23-AN23</f>
        <v>23553</v>
      </c>
      <c r="AQ23" s="73">
        <f>AP23/AO23</f>
        <v>0.010461281532526888</v>
      </c>
      <c r="AS23" s="281" t="s">
        <v>175</v>
      </c>
      <c r="AT23" s="298">
        <v>2900</v>
      </c>
      <c r="AU23" s="72">
        <v>519403</v>
      </c>
      <c r="AV23" s="72">
        <v>478942</v>
      </c>
      <c r="AW23" s="72">
        <f>AV23-AU23</f>
        <v>-40461</v>
      </c>
      <c r="AX23" s="73">
        <f>AW23/AV23</f>
        <v>-0.0844799579072205</v>
      </c>
      <c r="AY23" s="72">
        <f aca="true" t="shared" si="17" ref="AY23:AZ26">SUM(AN23+AU23)</f>
        <v>2747295</v>
      </c>
      <c r="AZ23" s="72">
        <f t="shared" si="17"/>
        <v>2730387</v>
      </c>
      <c r="BA23" s="87">
        <v>275835</v>
      </c>
      <c r="BB23" s="73">
        <f>BA23/AZ23</f>
        <v>0.1010241405339243</v>
      </c>
      <c r="BD23" s="281" t="s">
        <v>175</v>
      </c>
      <c r="BE23" s="298">
        <v>2900</v>
      </c>
      <c r="BF23" s="72">
        <v>519403</v>
      </c>
      <c r="BG23" s="72">
        <v>482513</v>
      </c>
      <c r="BH23" s="72">
        <f>BG23-BF23</f>
        <v>-36890</v>
      </c>
      <c r="BI23" s="73">
        <f>BH23/BG23</f>
        <v>-0.0764538986514353</v>
      </c>
      <c r="BJ23" s="72">
        <f aca="true" t="shared" si="18" ref="BJ23:BK26">SUM(AY23+BF23)</f>
        <v>3266698</v>
      </c>
      <c r="BK23" s="72">
        <f t="shared" si="18"/>
        <v>3212900</v>
      </c>
      <c r="BL23" s="87">
        <f>BK23-BJ23</f>
        <v>-53798</v>
      </c>
      <c r="BM23" s="73">
        <f>BL23/BK23</f>
        <v>-0.0167443742413396</v>
      </c>
      <c r="BO23" s="281" t="s">
        <v>175</v>
      </c>
      <c r="BP23" s="298">
        <v>2900</v>
      </c>
      <c r="BQ23" s="72">
        <v>549274</v>
      </c>
      <c r="BR23" s="72">
        <v>492917</v>
      </c>
      <c r="BS23" s="72">
        <f>BR23-BQ23</f>
        <v>-56357</v>
      </c>
      <c r="BT23" s="73">
        <f>BS23/BR23</f>
        <v>-0.11433365049288217</v>
      </c>
      <c r="BU23" s="72">
        <f aca="true" t="shared" si="19" ref="BU23:BV26">SUM(BJ23+BQ23)</f>
        <v>3815972</v>
      </c>
      <c r="BV23" s="72">
        <f t="shared" si="19"/>
        <v>3705817</v>
      </c>
      <c r="BW23" s="87">
        <f>BV23-BU23</f>
        <v>-110155</v>
      </c>
      <c r="BX23" s="73">
        <f>BW23/BV23</f>
        <v>-0.029724889275428334</v>
      </c>
      <c r="BZ23" s="281" t="s">
        <v>175</v>
      </c>
      <c r="CA23" s="298">
        <v>2900</v>
      </c>
      <c r="CB23" s="72"/>
      <c r="CC23" s="72">
        <v>492917</v>
      </c>
      <c r="CD23" s="72">
        <f>CC23-CB23</f>
        <v>492917</v>
      </c>
      <c r="CE23" s="73">
        <f>CD23/CC23</f>
        <v>1</v>
      </c>
      <c r="CF23" s="72">
        <f aca="true" t="shared" si="20" ref="CF23:CG26">SUM(BU23+CB23)</f>
        <v>3815972</v>
      </c>
      <c r="CG23" s="72">
        <f t="shared" si="20"/>
        <v>4198734</v>
      </c>
      <c r="CH23" s="87">
        <f>CG23-CF23</f>
        <v>382762</v>
      </c>
      <c r="CI23" s="73">
        <f>CH23/CG23</f>
        <v>0.09116128814066335</v>
      </c>
      <c r="CK23" s="281" t="s">
        <v>175</v>
      </c>
      <c r="CL23" s="298">
        <v>2900</v>
      </c>
      <c r="CM23" s="72"/>
      <c r="CN23" s="72">
        <f>559452+24</f>
        <v>559476</v>
      </c>
      <c r="CO23" s="72">
        <f>CN23-CM23</f>
        <v>559476</v>
      </c>
      <c r="CP23" s="73">
        <f>CO23/CN23</f>
        <v>1</v>
      </c>
      <c r="CQ23" s="72">
        <f aca="true" t="shared" si="21" ref="CQ23:CR26">SUM(CF23+CM23)</f>
        <v>3815972</v>
      </c>
      <c r="CR23" s="72">
        <f t="shared" si="21"/>
        <v>4758210</v>
      </c>
      <c r="CS23" s="87">
        <f>CR23-CQ23</f>
        <v>942238</v>
      </c>
      <c r="CT23" s="73">
        <f>CS23/CR23</f>
        <v>0.19802362653182604</v>
      </c>
      <c r="CV23" s="281" t="s">
        <v>175</v>
      </c>
      <c r="CW23" s="298">
        <v>2900</v>
      </c>
      <c r="CX23" s="72">
        <v>411397</v>
      </c>
      <c r="CY23" s="72">
        <v>500264</v>
      </c>
      <c r="CZ23" s="72">
        <f>CY23-CX23</f>
        <v>88867</v>
      </c>
      <c r="DA23" s="73">
        <f>CZ23/CY23</f>
        <v>0.1776402059712472</v>
      </c>
      <c r="DB23" s="72">
        <f aca="true" t="shared" si="22" ref="DB23:DC26">SUM(CQ23+CX23)</f>
        <v>4227369</v>
      </c>
      <c r="DC23" s="72">
        <f t="shared" si="22"/>
        <v>5258474</v>
      </c>
      <c r="DD23" s="87">
        <f>DC23-DB23</f>
        <v>1031105</v>
      </c>
      <c r="DE23" s="73">
        <f>DD23/DC23</f>
        <v>0.19608445339845743</v>
      </c>
      <c r="DG23" s="281" t="s">
        <v>175</v>
      </c>
      <c r="DH23" s="298">
        <v>2900</v>
      </c>
      <c r="DI23" s="72">
        <v>662878</v>
      </c>
      <c r="DJ23" s="72">
        <v>530483</v>
      </c>
      <c r="DK23" s="72">
        <f>DJ23-DI23</f>
        <v>-132395</v>
      </c>
      <c r="DL23" s="73">
        <f>DK23/DJ23</f>
        <v>-0.24957444442140464</v>
      </c>
      <c r="DM23" s="72">
        <f aca="true" t="shared" si="23" ref="DM23:DN26">SUM(DB23+DI23)</f>
        <v>4890247</v>
      </c>
      <c r="DN23" s="72">
        <f t="shared" si="23"/>
        <v>5788957</v>
      </c>
      <c r="DO23" s="87">
        <f>DN23-DM23</f>
        <v>898710</v>
      </c>
      <c r="DP23" s="73">
        <f>DO23/DN23</f>
        <v>0.15524558223528004</v>
      </c>
      <c r="DR23" s="281" t="s">
        <v>175</v>
      </c>
      <c r="DS23" s="298">
        <v>2900</v>
      </c>
      <c r="DT23" s="72">
        <v>525576</v>
      </c>
      <c r="DU23" s="72">
        <v>620835</v>
      </c>
      <c r="DV23" s="72">
        <f>DU23-DT23</f>
        <v>95259</v>
      </c>
      <c r="DW23" s="73">
        <f>DV23/DU23</f>
        <v>0.1534369035250912</v>
      </c>
      <c r="DX23" s="72">
        <f aca="true" t="shared" si="24" ref="DX23:DY26">SUM(DM23+DT23)</f>
        <v>5415823</v>
      </c>
      <c r="DY23" s="72">
        <f t="shared" si="24"/>
        <v>6409792</v>
      </c>
      <c r="DZ23" s="87">
        <f>DY23-DX23</f>
        <v>993969</v>
      </c>
      <c r="EA23" s="73">
        <f>DZ23/DY23</f>
        <v>0.15507039854023344</v>
      </c>
      <c r="EC23" s="281" t="s">
        <v>175</v>
      </c>
      <c r="ED23" s="298">
        <v>2900</v>
      </c>
      <c r="EE23" s="72"/>
      <c r="EF23" s="72"/>
      <c r="EG23" s="72">
        <f>EF23-EE23</f>
        <v>0</v>
      </c>
      <c r="EH23" s="73" t="e">
        <f>EG23/EF23</f>
        <v>#DIV/0!</v>
      </c>
      <c r="EI23" s="72">
        <f aca="true" t="shared" si="25" ref="EI23:EJ26">SUM(DX23+EE23)</f>
        <v>5415823</v>
      </c>
      <c r="EJ23" s="72">
        <f t="shared" si="25"/>
        <v>6409792</v>
      </c>
      <c r="EK23" s="87">
        <f>EJ23-EI23</f>
        <v>993969</v>
      </c>
      <c r="EL23" s="73">
        <f>EK23/EJ23</f>
        <v>0.15507039854023344</v>
      </c>
    </row>
    <row r="24" spans="1:142" ht="13.5" thickBot="1">
      <c r="A24" s="281" t="s">
        <v>172</v>
      </c>
      <c r="B24" s="298"/>
      <c r="C24" s="72">
        <v>7067</v>
      </c>
      <c r="D24" s="72">
        <v>18316</v>
      </c>
      <c r="E24" s="72">
        <f>D24-C24</f>
        <v>11249</v>
      </c>
      <c r="F24" s="73">
        <f>E24/D24</f>
        <v>0.6141624808910242</v>
      </c>
      <c r="G24" s="72">
        <f t="shared" si="13"/>
        <v>7067</v>
      </c>
      <c r="H24" s="72">
        <f t="shared" si="13"/>
        <v>18316</v>
      </c>
      <c r="I24" s="87">
        <f>H24-G24</f>
        <v>11249</v>
      </c>
      <c r="J24" s="73">
        <f>I24/H24</f>
        <v>0.6141624808910242</v>
      </c>
      <c r="L24" s="281" t="s">
        <v>172</v>
      </c>
      <c r="M24" s="298"/>
      <c r="N24" s="72">
        <f>5960+9876</f>
        <v>15836</v>
      </c>
      <c r="O24" s="72">
        <v>18254</v>
      </c>
      <c r="P24" s="72">
        <f>O24-N24</f>
        <v>2418</v>
      </c>
      <c r="Q24" s="73">
        <f>P24/O24</f>
        <v>0.13246411745370879</v>
      </c>
      <c r="R24" s="72">
        <f t="shared" si="14"/>
        <v>22903</v>
      </c>
      <c r="S24" s="72">
        <f t="shared" si="14"/>
        <v>36570</v>
      </c>
      <c r="T24" s="87">
        <f>S24-R24</f>
        <v>13667</v>
      </c>
      <c r="U24" s="73">
        <f>T24/S24</f>
        <v>0.37372162975116213</v>
      </c>
      <c r="W24" s="281" t="s">
        <v>172</v>
      </c>
      <c r="X24" s="298"/>
      <c r="Y24" s="72">
        <f>3650+9596</f>
        <v>13246</v>
      </c>
      <c r="Z24" s="72">
        <v>10780</v>
      </c>
      <c r="AA24" s="72">
        <f>Z24-Y24</f>
        <v>-2466</v>
      </c>
      <c r="AB24" s="73">
        <f>AA24/Z24</f>
        <v>-0.2287569573283859</v>
      </c>
      <c r="AC24" s="72">
        <f t="shared" si="15"/>
        <v>36149</v>
      </c>
      <c r="AD24" s="72">
        <f t="shared" si="15"/>
        <v>47350</v>
      </c>
      <c r="AE24" s="87">
        <f>AD24-AC24</f>
        <v>11201</v>
      </c>
      <c r="AF24" s="73">
        <f>AE24/AD24</f>
        <v>0.23655755015839494</v>
      </c>
      <c r="AH24" s="281" t="s">
        <v>172</v>
      </c>
      <c r="AI24" s="298"/>
      <c r="AJ24" s="72">
        <f>5565+6760</f>
        <v>12325</v>
      </c>
      <c r="AK24" s="72">
        <f>3351+5665</f>
        <v>9016</v>
      </c>
      <c r="AL24" s="72">
        <f>AK24-AJ24</f>
        <v>-3309</v>
      </c>
      <c r="AM24" s="73">
        <f>AL24/AK24</f>
        <v>-0.3670141969831411</v>
      </c>
      <c r="AN24" s="72">
        <f t="shared" si="16"/>
        <v>48474</v>
      </c>
      <c r="AO24" s="72">
        <f t="shared" si="16"/>
        <v>56366</v>
      </c>
      <c r="AP24" s="87">
        <f>AO24-AN24</f>
        <v>7892</v>
      </c>
      <c r="AQ24" s="73">
        <f>AP24/AO24</f>
        <v>0.1400134833055388</v>
      </c>
      <c r="AS24" s="281" t="s">
        <v>172</v>
      </c>
      <c r="AT24" s="298"/>
      <c r="AU24" s="72">
        <f>4176+16570</f>
        <v>20746</v>
      </c>
      <c r="AV24" s="72">
        <f>6664+8773</f>
        <v>15437</v>
      </c>
      <c r="AW24" s="72">
        <f>AV24-AU24</f>
        <v>-5309</v>
      </c>
      <c r="AX24" s="73">
        <f>AW24/AV24</f>
        <v>-0.3439139729221999</v>
      </c>
      <c r="AY24" s="72">
        <f t="shared" si="17"/>
        <v>69220</v>
      </c>
      <c r="AZ24" s="72">
        <f t="shared" si="17"/>
        <v>71803</v>
      </c>
      <c r="BA24" s="87">
        <v>275835</v>
      </c>
      <c r="BB24" s="73">
        <f>BA24/AZ24</f>
        <v>3.8415525813684663</v>
      </c>
      <c r="BD24" s="281" t="s">
        <v>172</v>
      </c>
      <c r="BE24" s="298"/>
      <c r="BF24" s="72">
        <f>4176+7917</f>
        <v>12093</v>
      </c>
      <c r="BG24" s="72">
        <f>17488+1418</f>
        <v>18906</v>
      </c>
      <c r="BH24" s="72">
        <f>BG24-BF24</f>
        <v>6813</v>
      </c>
      <c r="BI24" s="73">
        <f>BH24/BG24</f>
        <v>0.36036178990796575</v>
      </c>
      <c r="BJ24" s="72">
        <f t="shared" si="18"/>
        <v>81313</v>
      </c>
      <c r="BK24" s="72">
        <f t="shared" si="18"/>
        <v>90709</v>
      </c>
      <c r="BL24" s="87">
        <f>BK24-BJ24</f>
        <v>9396</v>
      </c>
      <c r="BM24" s="73">
        <f>BL24/BK24</f>
        <v>0.10358398835837679</v>
      </c>
      <c r="BO24" s="281" t="s">
        <v>172</v>
      </c>
      <c r="BP24" s="298"/>
      <c r="BQ24" s="72">
        <f>3805+6814</f>
        <v>10619</v>
      </c>
      <c r="BR24" s="72">
        <f>1494+4217</f>
        <v>5711</v>
      </c>
      <c r="BS24" s="72">
        <f>BR24-BQ24</f>
        <v>-4908</v>
      </c>
      <c r="BT24" s="73">
        <f>BS24/BR24</f>
        <v>-0.8593941516371914</v>
      </c>
      <c r="BU24" s="72">
        <f t="shared" si="19"/>
        <v>91932</v>
      </c>
      <c r="BV24" s="72">
        <f t="shared" si="19"/>
        <v>96420</v>
      </c>
      <c r="BW24" s="87">
        <f>BV24-BU24</f>
        <v>4488</v>
      </c>
      <c r="BX24" s="73">
        <f>BW24/BV24</f>
        <v>0.04654635967641568</v>
      </c>
      <c r="BZ24" s="281" t="s">
        <v>172</v>
      </c>
      <c r="CA24" s="298"/>
      <c r="CB24" s="72"/>
      <c r="CC24" s="72">
        <f>1494+4217</f>
        <v>5711</v>
      </c>
      <c r="CD24" s="72">
        <f>CC24-CB24</f>
        <v>5711</v>
      </c>
      <c r="CE24" s="73">
        <f>CD24/CC24</f>
        <v>1</v>
      </c>
      <c r="CF24" s="72">
        <f t="shared" si="20"/>
        <v>91932</v>
      </c>
      <c r="CG24" s="72">
        <f t="shared" si="20"/>
        <v>102131</v>
      </c>
      <c r="CH24" s="87">
        <f>CG24-CF24</f>
        <v>10199</v>
      </c>
      <c r="CI24" s="73">
        <f>CH24/CG24</f>
        <v>0.09986194201564658</v>
      </c>
      <c r="CK24" s="281" t="s">
        <v>172</v>
      </c>
      <c r="CL24" s="298"/>
      <c r="CM24" s="72"/>
      <c r="CN24" s="72">
        <f>4170+10984</f>
        <v>15154</v>
      </c>
      <c r="CO24" s="72">
        <f>CN24-CM24</f>
        <v>15154</v>
      </c>
      <c r="CP24" s="73">
        <f>CO24/CN24</f>
        <v>1</v>
      </c>
      <c r="CQ24" s="72">
        <f t="shared" si="21"/>
        <v>91932</v>
      </c>
      <c r="CR24" s="72">
        <f t="shared" si="21"/>
        <v>117285</v>
      </c>
      <c r="CS24" s="87">
        <f>CR24-CQ24</f>
        <v>25353</v>
      </c>
      <c r="CT24" s="73">
        <f>CS24/CR24</f>
        <v>0.2161657500959202</v>
      </c>
      <c r="CV24" s="281" t="s">
        <v>172</v>
      </c>
      <c r="CW24" s="298"/>
      <c r="CX24" s="72">
        <f>2918+7084</f>
        <v>10002</v>
      </c>
      <c r="CY24" s="72">
        <v>8724</v>
      </c>
      <c r="CZ24" s="72">
        <f>CY24-CX24</f>
        <v>-1278</v>
      </c>
      <c r="DA24" s="73">
        <f>CZ24/CY24</f>
        <v>-0.14649243466299863</v>
      </c>
      <c r="DB24" s="72">
        <f t="shared" si="22"/>
        <v>101934</v>
      </c>
      <c r="DC24" s="72">
        <f t="shared" si="22"/>
        <v>126009</v>
      </c>
      <c r="DD24" s="87">
        <f>DC24-DB24</f>
        <v>24075</v>
      </c>
      <c r="DE24" s="73">
        <f>DD24/DC24</f>
        <v>0.1910577815870295</v>
      </c>
      <c r="DG24" s="281" t="s">
        <v>172</v>
      </c>
      <c r="DH24" s="298"/>
      <c r="DI24" s="72">
        <f>3458+10630</f>
        <v>14088</v>
      </c>
      <c r="DJ24" s="72">
        <v>11822</v>
      </c>
      <c r="DK24" s="72">
        <f>DJ24-DI24</f>
        <v>-2266</v>
      </c>
      <c r="DL24" s="73">
        <f>DK24/DJ24</f>
        <v>-0.19167653527321943</v>
      </c>
      <c r="DM24" s="72">
        <f t="shared" si="23"/>
        <v>116022</v>
      </c>
      <c r="DN24" s="72">
        <f t="shared" si="23"/>
        <v>137831</v>
      </c>
      <c r="DO24" s="87">
        <f>DN24-DM24</f>
        <v>21809</v>
      </c>
      <c r="DP24" s="73">
        <f>DO24/DN24</f>
        <v>0.15823000631207784</v>
      </c>
      <c r="DR24" s="281" t="s">
        <v>172</v>
      </c>
      <c r="DS24" s="298"/>
      <c r="DT24" s="72">
        <f>7102+32275</f>
        <v>39377</v>
      </c>
      <c r="DU24" s="72">
        <v>11131</v>
      </c>
      <c r="DV24" s="72">
        <f>DU24-DT24</f>
        <v>-28246</v>
      </c>
      <c r="DW24" s="73">
        <f>DV24/DU24</f>
        <v>-2.537597700116791</v>
      </c>
      <c r="DX24" s="72">
        <f t="shared" si="24"/>
        <v>155399</v>
      </c>
      <c r="DY24" s="72">
        <f t="shared" si="24"/>
        <v>148962</v>
      </c>
      <c r="DZ24" s="87">
        <f>DY24-DX24</f>
        <v>-6437</v>
      </c>
      <c r="EA24" s="73">
        <f>DZ24/DY24</f>
        <v>-0.04321236288449403</v>
      </c>
      <c r="EC24" s="281" t="s">
        <v>172</v>
      </c>
      <c r="ED24" s="298"/>
      <c r="EE24" s="72"/>
      <c r="EF24" s="72"/>
      <c r="EG24" s="72">
        <f>EF24-EE24</f>
        <v>0</v>
      </c>
      <c r="EH24" s="73" t="e">
        <f>EG24/EF24</f>
        <v>#DIV/0!</v>
      </c>
      <c r="EI24" s="72">
        <f t="shared" si="25"/>
        <v>155399</v>
      </c>
      <c r="EJ24" s="72">
        <f t="shared" si="25"/>
        <v>148962</v>
      </c>
      <c r="EK24" s="87">
        <f>EJ24-EI24</f>
        <v>-6437</v>
      </c>
      <c r="EL24" s="73">
        <f>EK24/EJ24</f>
        <v>-0.04321236288449403</v>
      </c>
    </row>
    <row r="25" spans="1:142" ht="13.5" thickBot="1">
      <c r="A25" s="281" t="s">
        <v>173</v>
      </c>
      <c r="B25" s="298"/>
      <c r="C25" s="72">
        <v>2096</v>
      </c>
      <c r="D25" s="72">
        <v>1077</v>
      </c>
      <c r="E25" s="72">
        <f>D25-C25</f>
        <v>-1019</v>
      </c>
      <c r="F25" s="73">
        <f>E25/D25</f>
        <v>-0.9461467038068709</v>
      </c>
      <c r="G25" s="72">
        <f t="shared" si="13"/>
        <v>2096</v>
      </c>
      <c r="H25" s="72">
        <f t="shared" si="13"/>
        <v>1077</v>
      </c>
      <c r="I25" s="87">
        <f>H25-G25</f>
        <v>-1019</v>
      </c>
      <c r="J25" s="73">
        <f>I25/H25</f>
        <v>-0.9461467038068709</v>
      </c>
      <c r="L25" s="281" t="s">
        <v>173</v>
      </c>
      <c r="M25" s="298"/>
      <c r="N25" s="72">
        <v>4610</v>
      </c>
      <c r="O25" s="72">
        <v>2246</v>
      </c>
      <c r="P25" s="72">
        <f>O25-N25</f>
        <v>-2364</v>
      </c>
      <c r="Q25" s="73">
        <f>P25/O25</f>
        <v>-1.0525378450578806</v>
      </c>
      <c r="R25" s="72">
        <f t="shared" si="14"/>
        <v>6706</v>
      </c>
      <c r="S25" s="72">
        <f t="shared" si="14"/>
        <v>3323</v>
      </c>
      <c r="T25" s="87">
        <f>S25-R25</f>
        <v>-3383</v>
      </c>
      <c r="U25" s="73">
        <f>T25/S25</f>
        <v>-1.0180559735179056</v>
      </c>
      <c r="W25" s="281" t="s">
        <v>173</v>
      </c>
      <c r="X25" s="298"/>
      <c r="Y25" s="72">
        <v>4158</v>
      </c>
      <c r="Z25" s="72">
        <v>3621</v>
      </c>
      <c r="AA25" s="72">
        <f>Z25-Y25</f>
        <v>-537</v>
      </c>
      <c r="AB25" s="73">
        <f>AA25/Z25</f>
        <v>-0.14830157415078707</v>
      </c>
      <c r="AC25" s="72">
        <f t="shared" si="15"/>
        <v>10864</v>
      </c>
      <c r="AD25" s="72">
        <f t="shared" si="15"/>
        <v>6944</v>
      </c>
      <c r="AE25" s="87">
        <f>AD25-AC25</f>
        <v>-3920</v>
      </c>
      <c r="AF25" s="73">
        <f>AE25/AD25</f>
        <v>-0.5645161290322581</v>
      </c>
      <c r="AH25" s="281" t="s">
        <v>173</v>
      </c>
      <c r="AI25" s="298"/>
      <c r="AJ25" s="72">
        <v>3254</v>
      </c>
      <c r="AK25" s="72">
        <v>1245</v>
      </c>
      <c r="AL25" s="72">
        <f>AK25-AJ25</f>
        <v>-2009</v>
      </c>
      <c r="AM25" s="73">
        <f>AL25/AK25</f>
        <v>-1.6136546184738956</v>
      </c>
      <c r="AN25" s="72">
        <f t="shared" si="16"/>
        <v>14118</v>
      </c>
      <c r="AO25" s="72">
        <f t="shared" si="16"/>
        <v>8189</v>
      </c>
      <c r="AP25" s="87">
        <f>AO25-AN25</f>
        <v>-5929</v>
      </c>
      <c r="AQ25" s="73">
        <f>AP25/AO25</f>
        <v>-0.7240200268653071</v>
      </c>
      <c r="AS25" s="281" t="s">
        <v>173</v>
      </c>
      <c r="AT25" s="298"/>
      <c r="AU25" s="72">
        <v>4117</v>
      </c>
      <c r="AV25" s="72">
        <v>2365</v>
      </c>
      <c r="AW25" s="72">
        <f>AV25-AU25</f>
        <v>-1752</v>
      </c>
      <c r="AX25" s="73">
        <f>AW25/AV25</f>
        <v>-0.7408033826638478</v>
      </c>
      <c r="AY25" s="72">
        <f t="shared" si="17"/>
        <v>18235</v>
      </c>
      <c r="AZ25" s="72">
        <f t="shared" si="17"/>
        <v>10554</v>
      </c>
      <c r="BA25" s="87">
        <v>275835</v>
      </c>
      <c r="BB25" s="73">
        <f>BA25/AZ25</f>
        <v>26.135588402501423</v>
      </c>
      <c r="BD25" s="281" t="s">
        <v>173</v>
      </c>
      <c r="BE25" s="298"/>
      <c r="BF25" s="72">
        <v>1502</v>
      </c>
      <c r="BG25" s="72">
        <v>2361</v>
      </c>
      <c r="BH25" s="72">
        <f>BG25-BF25</f>
        <v>859</v>
      </c>
      <c r="BI25" s="73">
        <f>BH25/BG25</f>
        <v>0.3638288860652266</v>
      </c>
      <c r="BJ25" s="72">
        <f t="shared" si="18"/>
        <v>19737</v>
      </c>
      <c r="BK25" s="72">
        <f t="shared" si="18"/>
        <v>12915</v>
      </c>
      <c r="BL25" s="87">
        <f>BK25-BJ25</f>
        <v>-6822</v>
      </c>
      <c r="BM25" s="73">
        <f>BL25/BK25</f>
        <v>-0.5282229965156794</v>
      </c>
      <c r="BO25" s="281" t="s">
        <v>173</v>
      </c>
      <c r="BP25" s="298"/>
      <c r="BQ25" s="72">
        <v>4705</v>
      </c>
      <c r="BR25" s="72">
        <v>2314</v>
      </c>
      <c r="BS25" s="72">
        <f>BR25-BQ25</f>
        <v>-2391</v>
      </c>
      <c r="BT25" s="73">
        <f>BS25/BR25</f>
        <v>-1.033275713050994</v>
      </c>
      <c r="BU25" s="72">
        <f t="shared" si="19"/>
        <v>24442</v>
      </c>
      <c r="BV25" s="72">
        <f t="shared" si="19"/>
        <v>15229</v>
      </c>
      <c r="BW25" s="87">
        <f>BV25-BU25</f>
        <v>-9213</v>
      </c>
      <c r="BX25" s="73">
        <f>BW25/BV25</f>
        <v>-0.6049642130146431</v>
      </c>
      <c r="BZ25" s="281" t="s">
        <v>173</v>
      </c>
      <c r="CA25" s="298"/>
      <c r="CB25" s="72"/>
      <c r="CC25" s="72">
        <v>2314</v>
      </c>
      <c r="CD25" s="72">
        <f>CC25-CB25</f>
        <v>2314</v>
      </c>
      <c r="CE25" s="73">
        <f>CD25/CC25</f>
        <v>1</v>
      </c>
      <c r="CF25" s="72">
        <f t="shared" si="20"/>
        <v>24442</v>
      </c>
      <c r="CG25" s="72">
        <f t="shared" si="20"/>
        <v>17543</v>
      </c>
      <c r="CH25" s="87">
        <f>CG25-CF25</f>
        <v>-6899</v>
      </c>
      <c r="CI25" s="73">
        <f>CH25/CG25</f>
        <v>-0.3932622698512227</v>
      </c>
      <c r="CK25" s="281" t="s">
        <v>173</v>
      </c>
      <c r="CL25" s="298"/>
      <c r="CM25" s="72"/>
      <c r="CN25" s="72">
        <v>3159</v>
      </c>
      <c r="CO25" s="72">
        <f>CN25-CM25</f>
        <v>3159</v>
      </c>
      <c r="CP25" s="73">
        <f>CO25/CN25</f>
        <v>1</v>
      </c>
      <c r="CQ25" s="72">
        <f t="shared" si="21"/>
        <v>24442</v>
      </c>
      <c r="CR25" s="72">
        <f t="shared" si="21"/>
        <v>20702</v>
      </c>
      <c r="CS25" s="87">
        <f>CR25-CQ25</f>
        <v>-3740</v>
      </c>
      <c r="CT25" s="73">
        <f>CS25/CR25</f>
        <v>-0.1806588735387885</v>
      </c>
      <c r="CV25" s="281" t="s">
        <v>173</v>
      </c>
      <c r="CW25" s="298"/>
      <c r="CX25" s="72">
        <v>3256</v>
      </c>
      <c r="CY25" s="72">
        <v>2239</v>
      </c>
      <c r="CZ25" s="72">
        <f>CY25-CX25</f>
        <v>-1017</v>
      </c>
      <c r="DA25" s="73">
        <f>CZ25/CY25</f>
        <v>-0.45422063421170167</v>
      </c>
      <c r="DB25" s="72">
        <f t="shared" si="22"/>
        <v>27698</v>
      </c>
      <c r="DC25" s="72">
        <f t="shared" si="22"/>
        <v>22941</v>
      </c>
      <c r="DD25" s="87">
        <f>DC25-DB25</f>
        <v>-4757</v>
      </c>
      <c r="DE25" s="73">
        <f>DD25/DC25</f>
        <v>-0.20735800531798962</v>
      </c>
      <c r="DG25" s="281" t="s">
        <v>173</v>
      </c>
      <c r="DH25" s="298"/>
      <c r="DI25" s="72">
        <v>3658</v>
      </c>
      <c r="DJ25" s="72">
        <v>2612</v>
      </c>
      <c r="DK25" s="72">
        <f>DJ25-DI25</f>
        <v>-1046</v>
      </c>
      <c r="DL25" s="73">
        <f>DK25/DJ25</f>
        <v>-0.4004594180704441</v>
      </c>
      <c r="DM25" s="72">
        <f t="shared" si="23"/>
        <v>31356</v>
      </c>
      <c r="DN25" s="72">
        <f t="shared" si="23"/>
        <v>25553</v>
      </c>
      <c r="DO25" s="87">
        <f>DN25-DM25</f>
        <v>-5803</v>
      </c>
      <c r="DP25" s="73">
        <f>DO25/DN25</f>
        <v>-0.22709662270574885</v>
      </c>
      <c r="DR25" s="281" t="s">
        <v>173</v>
      </c>
      <c r="DS25" s="298"/>
      <c r="DT25" s="72">
        <v>3041</v>
      </c>
      <c r="DU25" s="72">
        <v>774</v>
      </c>
      <c r="DV25" s="72">
        <f>DU25-DT25</f>
        <v>-2267</v>
      </c>
      <c r="DW25" s="73">
        <f>DV25/DU25</f>
        <v>-2.9289405684754524</v>
      </c>
      <c r="DX25" s="72">
        <f t="shared" si="24"/>
        <v>34397</v>
      </c>
      <c r="DY25" s="72">
        <f t="shared" si="24"/>
        <v>26327</v>
      </c>
      <c r="DZ25" s="87">
        <f>DY25-DX25</f>
        <v>-8070</v>
      </c>
      <c r="EA25" s="73">
        <f>DZ25/DY25</f>
        <v>-0.30652941846773274</v>
      </c>
      <c r="EC25" s="281" t="s">
        <v>173</v>
      </c>
      <c r="ED25" s="298"/>
      <c r="EE25" s="72"/>
      <c r="EF25" s="72"/>
      <c r="EG25" s="72">
        <f>EF25-EE25</f>
        <v>0</v>
      </c>
      <c r="EH25" s="73" t="e">
        <f>EG25/EF25</f>
        <v>#DIV/0!</v>
      </c>
      <c r="EI25" s="72">
        <f t="shared" si="25"/>
        <v>34397</v>
      </c>
      <c r="EJ25" s="72">
        <f t="shared" si="25"/>
        <v>26327</v>
      </c>
      <c r="EK25" s="87">
        <f>EJ25-EI25</f>
        <v>-8070</v>
      </c>
      <c r="EL25" s="73">
        <f>EK25/EJ25</f>
        <v>-0.30652941846773274</v>
      </c>
    </row>
    <row r="26" spans="1:142" ht="13.5" thickBot="1">
      <c r="A26" s="281" t="s">
        <v>174</v>
      </c>
      <c r="B26" s="298"/>
      <c r="C26" s="72">
        <v>17831</v>
      </c>
      <c r="D26" s="72">
        <v>0</v>
      </c>
      <c r="E26" s="72">
        <f>D26-C26</f>
        <v>-17831</v>
      </c>
      <c r="F26" s="73"/>
      <c r="G26" s="72">
        <f t="shared" si="13"/>
        <v>17831</v>
      </c>
      <c r="H26" s="72">
        <f t="shared" si="13"/>
        <v>0</v>
      </c>
      <c r="I26" s="87">
        <f>H26-G26</f>
        <v>-17831</v>
      </c>
      <c r="J26" s="73" t="e">
        <f>I26/H26</f>
        <v>#DIV/0!</v>
      </c>
      <c r="L26" s="281" t="s">
        <v>174</v>
      </c>
      <c r="M26" s="298"/>
      <c r="N26" s="72">
        <v>34</v>
      </c>
      <c r="O26" s="72">
        <v>509</v>
      </c>
      <c r="P26" s="72">
        <f>O26-N26</f>
        <v>475</v>
      </c>
      <c r="Q26" s="73">
        <f>P26/O26</f>
        <v>0.9332023575638507</v>
      </c>
      <c r="R26" s="72">
        <f t="shared" si="14"/>
        <v>17865</v>
      </c>
      <c r="S26" s="72">
        <f t="shared" si="14"/>
        <v>509</v>
      </c>
      <c r="T26" s="87">
        <f>S26-R26</f>
        <v>-17356</v>
      </c>
      <c r="U26" s="73">
        <f>T26/S26</f>
        <v>-34.09823182711198</v>
      </c>
      <c r="W26" s="281" t="s">
        <v>174</v>
      </c>
      <c r="X26" s="298"/>
      <c r="Y26" s="72">
        <v>53124</v>
      </c>
      <c r="Z26" s="72">
        <v>370</v>
      </c>
      <c r="AA26" s="72">
        <f>Z26-Y26</f>
        <v>-52754</v>
      </c>
      <c r="AB26" s="73">
        <f>AA26/Z26</f>
        <v>-142.57837837837837</v>
      </c>
      <c r="AC26" s="72">
        <f t="shared" si="15"/>
        <v>70989</v>
      </c>
      <c r="AD26" s="72">
        <f t="shared" si="15"/>
        <v>879</v>
      </c>
      <c r="AE26" s="87">
        <f>AD26-AC26</f>
        <v>-70110</v>
      </c>
      <c r="AF26" s="73">
        <f>AE26/AD26</f>
        <v>-79.76109215017065</v>
      </c>
      <c r="AH26" s="281" t="s">
        <v>174</v>
      </c>
      <c r="AI26" s="298"/>
      <c r="AJ26" s="72">
        <v>3747</v>
      </c>
      <c r="AK26" s="72">
        <v>-366</v>
      </c>
      <c r="AL26" s="72">
        <f>AK26-AJ26</f>
        <v>-4113</v>
      </c>
      <c r="AM26" s="73">
        <f>AL26/AK26</f>
        <v>11.237704918032787</v>
      </c>
      <c r="AN26" s="72">
        <f t="shared" si="16"/>
        <v>74736</v>
      </c>
      <c r="AO26" s="72">
        <f t="shared" si="16"/>
        <v>513</v>
      </c>
      <c r="AP26" s="87">
        <f>AO26-AN26</f>
        <v>-74223</v>
      </c>
      <c r="AQ26" s="73">
        <f>AP26/AO26</f>
        <v>-144.68421052631578</v>
      </c>
      <c r="AS26" s="281" t="s">
        <v>174</v>
      </c>
      <c r="AT26" s="298"/>
      <c r="AU26" s="72">
        <v>59</v>
      </c>
      <c r="AV26" s="72">
        <v>0</v>
      </c>
      <c r="AW26" s="72">
        <f>AV26-AU26</f>
        <v>-59</v>
      </c>
      <c r="AX26" s="73" t="e">
        <f>AW26/AV26</f>
        <v>#DIV/0!</v>
      </c>
      <c r="AY26" s="72">
        <f t="shared" si="17"/>
        <v>74795</v>
      </c>
      <c r="AZ26" s="72">
        <f t="shared" si="17"/>
        <v>513</v>
      </c>
      <c r="BA26" s="87">
        <v>275835</v>
      </c>
      <c r="BB26" s="73">
        <f>BA26/AZ26</f>
        <v>537.6900584795321</v>
      </c>
      <c r="BD26" s="281" t="s">
        <v>174</v>
      </c>
      <c r="BE26" s="298"/>
      <c r="BF26" s="72">
        <v>23763</v>
      </c>
      <c r="BG26" s="72">
        <v>14</v>
      </c>
      <c r="BH26" s="72">
        <f>BG26-BF26</f>
        <v>-23749</v>
      </c>
      <c r="BI26" s="73">
        <f>BH26/BG26</f>
        <v>-1696.357142857143</v>
      </c>
      <c r="BJ26" s="72">
        <f t="shared" si="18"/>
        <v>98558</v>
      </c>
      <c r="BK26" s="72">
        <f t="shared" si="18"/>
        <v>527</v>
      </c>
      <c r="BL26" s="87">
        <f>BK26-BJ26</f>
        <v>-98031</v>
      </c>
      <c r="BM26" s="73">
        <f>BL26/BK26</f>
        <v>-186.0170777988615</v>
      </c>
      <c r="BO26" s="281" t="s">
        <v>174</v>
      </c>
      <c r="BP26" s="298"/>
      <c r="BQ26" s="72">
        <v>3682</v>
      </c>
      <c r="BR26" s="72">
        <v>61</v>
      </c>
      <c r="BS26" s="72">
        <f>BR26-BQ26</f>
        <v>-3621</v>
      </c>
      <c r="BT26" s="73">
        <f>BS26/BR26</f>
        <v>-59.36065573770492</v>
      </c>
      <c r="BU26" s="72">
        <f t="shared" si="19"/>
        <v>102240</v>
      </c>
      <c r="BV26" s="72">
        <f t="shared" si="19"/>
        <v>588</v>
      </c>
      <c r="BW26" s="87">
        <f>BV26-BU26</f>
        <v>-101652</v>
      </c>
      <c r="BX26" s="73">
        <f>BW26/BV26</f>
        <v>-172.87755102040816</v>
      </c>
      <c r="BZ26" s="281" t="s">
        <v>174</v>
      </c>
      <c r="CA26" s="298"/>
      <c r="CB26" s="72"/>
      <c r="CC26" s="72">
        <v>61</v>
      </c>
      <c r="CD26" s="72">
        <f>CC26-CB26</f>
        <v>61</v>
      </c>
      <c r="CE26" s="73">
        <f>CD26/CC26</f>
        <v>1</v>
      </c>
      <c r="CF26" s="72">
        <f t="shared" si="20"/>
        <v>102240</v>
      </c>
      <c r="CG26" s="72">
        <f t="shared" si="20"/>
        <v>649</v>
      </c>
      <c r="CH26" s="87">
        <f>CG26-CF26</f>
        <v>-101591</v>
      </c>
      <c r="CI26" s="73">
        <f>CH26/CG26</f>
        <v>-156.5346687211094</v>
      </c>
      <c r="CK26" s="281" t="s">
        <v>174</v>
      </c>
      <c r="CL26" s="298"/>
      <c r="CM26" s="72"/>
      <c r="CN26" s="72">
        <v>990</v>
      </c>
      <c r="CO26" s="72">
        <f>CN26-CM26</f>
        <v>990</v>
      </c>
      <c r="CP26" s="73">
        <f>CO26/CN26</f>
        <v>1</v>
      </c>
      <c r="CQ26" s="72">
        <f t="shared" si="21"/>
        <v>102240</v>
      </c>
      <c r="CR26" s="72">
        <f t="shared" si="21"/>
        <v>1639</v>
      </c>
      <c r="CS26" s="87">
        <f>CR26-CQ26</f>
        <v>-100601</v>
      </c>
      <c r="CT26" s="73">
        <f>CS26/CR26</f>
        <v>-61.37949969493594</v>
      </c>
      <c r="CV26" s="281" t="s">
        <v>174</v>
      </c>
      <c r="CW26" s="298"/>
      <c r="CX26" s="72">
        <v>-113</v>
      </c>
      <c r="CY26" s="72">
        <v>-3468</v>
      </c>
      <c r="CZ26" s="72">
        <f>CY26-CX26</f>
        <v>-3355</v>
      </c>
      <c r="DA26" s="73">
        <f>CZ26/CY26</f>
        <v>0.9674163783160323</v>
      </c>
      <c r="DB26" s="72">
        <f t="shared" si="22"/>
        <v>102127</v>
      </c>
      <c r="DC26" s="72">
        <f t="shared" si="22"/>
        <v>-1829</v>
      </c>
      <c r="DD26" s="87">
        <f>DC26-DB26</f>
        <v>-103956</v>
      </c>
      <c r="DE26" s="73">
        <f>DD26/DC26</f>
        <v>56.83761618370694</v>
      </c>
      <c r="DG26" s="281" t="s">
        <v>174</v>
      </c>
      <c r="DH26" s="298"/>
      <c r="DI26" s="72">
        <v>-63</v>
      </c>
      <c r="DJ26" s="72">
        <v>-445</v>
      </c>
      <c r="DK26" s="72">
        <f>DJ26-DI26</f>
        <v>-382</v>
      </c>
      <c r="DL26" s="73">
        <f>DK26/DJ26</f>
        <v>0.8584269662921349</v>
      </c>
      <c r="DM26" s="72">
        <f t="shared" si="23"/>
        <v>102064</v>
      </c>
      <c r="DN26" s="72">
        <f t="shared" si="23"/>
        <v>-2274</v>
      </c>
      <c r="DO26" s="87">
        <f>DN26-DM26</f>
        <v>-104338</v>
      </c>
      <c r="DP26" s="73">
        <f>DO26/DN26</f>
        <v>45.8830255057168</v>
      </c>
      <c r="DR26" s="281" t="s">
        <v>174</v>
      </c>
      <c r="DS26" s="298"/>
      <c r="DT26" s="72">
        <v>-1942</v>
      </c>
      <c r="DU26" s="72">
        <v>-14502</v>
      </c>
      <c r="DV26" s="72">
        <f>DU26-DT26</f>
        <v>-12560</v>
      </c>
      <c r="DW26" s="73">
        <f>DV26/DU26</f>
        <v>0.8660874362156944</v>
      </c>
      <c r="DX26" s="72">
        <f t="shared" si="24"/>
        <v>100122</v>
      </c>
      <c r="DY26" s="72">
        <f t="shared" si="24"/>
        <v>-16776</v>
      </c>
      <c r="DZ26" s="87">
        <f>DY26-DX26</f>
        <v>-116898</v>
      </c>
      <c r="EA26" s="73">
        <f>DZ26/DY26</f>
        <v>6.968168812589413</v>
      </c>
      <c r="EC26" s="281" t="s">
        <v>174</v>
      </c>
      <c r="ED26" s="298"/>
      <c r="EE26" s="72"/>
      <c r="EF26" s="72"/>
      <c r="EG26" s="72">
        <f>EF26-EE26</f>
        <v>0</v>
      </c>
      <c r="EH26" s="73" t="e">
        <f>EG26/EF26</f>
        <v>#DIV/0!</v>
      </c>
      <c r="EI26" s="72">
        <f t="shared" si="25"/>
        <v>100122</v>
      </c>
      <c r="EJ26" s="72">
        <f t="shared" si="25"/>
        <v>-16776</v>
      </c>
      <c r="EK26" s="87">
        <f>EJ26-EI26</f>
        <v>-116898</v>
      </c>
      <c r="EL26" s="73">
        <f>EK26/EJ26</f>
        <v>6.968168812589413</v>
      </c>
    </row>
    <row r="27" spans="1:142" ht="13.5" thickBot="1">
      <c r="A27" s="296" t="s">
        <v>26</v>
      </c>
      <c r="B27" s="297"/>
      <c r="C27" s="80">
        <f>SUM(C23:C26)-C26</f>
        <v>652693</v>
      </c>
      <c r="D27" s="80">
        <f>SUM(D23:D26)</f>
        <v>755281</v>
      </c>
      <c r="E27" s="80">
        <f>D27-C27</f>
        <v>102588</v>
      </c>
      <c r="F27" s="108">
        <f>E27/D27</f>
        <v>0.1358275926443271</v>
      </c>
      <c r="G27" s="80">
        <f>SUM(G23:G26)</f>
        <v>670524</v>
      </c>
      <c r="H27" s="80">
        <f>SUM(H23:H26)</f>
        <v>755281</v>
      </c>
      <c r="I27" s="109">
        <f>H27-G27</f>
        <v>84757</v>
      </c>
      <c r="J27" s="108">
        <f>I27/H27</f>
        <v>0.11221916081564345</v>
      </c>
      <c r="L27" s="296" t="s">
        <v>26</v>
      </c>
      <c r="M27" s="297"/>
      <c r="N27" s="80">
        <f>SUM(N23:N26)-N26</f>
        <v>596568</v>
      </c>
      <c r="O27" s="80">
        <f>SUM(O23:O26)-O26</f>
        <v>483986</v>
      </c>
      <c r="P27" s="80">
        <f>O27-N27</f>
        <v>-112582</v>
      </c>
      <c r="Q27" s="108">
        <f>P27/O27</f>
        <v>-0.232614166525478</v>
      </c>
      <c r="R27" s="80">
        <f>SUM(R23:R26)-R26</f>
        <v>1249261</v>
      </c>
      <c r="S27" s="80">
        <f>SUM(S23:S26)-S26</f>
        <v>1239267</v>
      </c>
      <c r="T27" s="109">
        <f>S27-R27</f>
        <v>-9994</v>
      </c>
      <c r="U27" s="108">
        <f>T27/S27</f>
        <v>-0.008064444546655402</v>
      </c>
      <c r="W27" s="296" t="s">
        <v>26</v>
      </c>
      <c r="X27" s="297"/>
      <c r="Y27" s="80">
        <f>SUM(Y23:Y26)-Y26</f>
        <v>540264</v>
      </c>
      <c r="Z27" s="80">
        <f>SUM(Z23:Z26)-Z26</f>
        <v>626071</v>
      </c>
      <c r="AA27" s="80">
        <f>Z27-Y27</f>
        <v>85807</v>
      </c>
      <c r="AB27" s="108">
        <f>AA27/Z27</f>
        <v>0.13705634025533844</v>
      </c>
      <c r="AC27" s="80">
        <f>SUM(AC23:AC26)-AC26</f>
        <v>1789525</v>
      </c>
      <c r="AD27" s="80">
        <f>SUM(AD23:AD26)-AD26</f>
        <v>1865338</v>
      </c>
      <c r="AE27" s="109">
        <f>AD27-AC27</f>
        <v>75813</v>
      </c>
      <c r="AF27" s="108">
        <f>AE27/AD27</f>
        <v>0.040643036275463215</v>
      </c>
      <c r="AH27" s="296" t="s">
        <v>26</v>
      </c>
      <c r="AI27" s="297"/>
      <c r="AJ27" s="80">
        <f>SUM(AJ23:AJ26)-AJ26</f>
        <v>500959</v>
      </c>
      <c r="AK27" s="80">
        <f>SUM(AK23:AK26)-AK26</f>
        <v>450662</v>
      </c>
      <c r="AL27" s="80">
        <f>AK27-AJ27</f>
        <v>-50297</v>
      </c>
      <c r="AM27" s="108">
        <f>AL27/AK27</f>
        <v>-0.1116069249237788</v>
      </c>
      <c r="AN27" s="80">
        <f>SUM(AN23:AN26)-AN26</f>
        <v>2290484</v>
      </c>
      <c r="AO27" s="80">
        <f>SUM(AO23:AO26)-AO26</f>
        <v>2316000</v>
      </c>
      <c r="AP27" s="109">
        <f>AO27-AN27</f>
        <v>25516</v>
      </c>
      <c r="AQ27" s="108">
        <f>AP27/AO27</f>
        <v>0.011017271157167531</v>
      </c>
      <c r="AS27" s="296" t="s">
        <v>26</v>
      </c>
      <c r="AT27" s="297"/>
      <c r="AU27" s="80">
        <f>SUM(AU23:AU26)-AU26</f>
        <v>544266</v>
      </c>
      <c r="AV27" s="80">
        <f>SUM(AV23:AV26)-AV26</f>
        <v>496744</v>
      </c>
      <c r="AW27" s="80">
        <f>AV27-AU27</f>
        <v>-47522</v>
      </c>
      <c r="AX27" s="108">
        <f>AW27/AV27</f>
        <v>-0.09566698339587393</v>
      </c>
      <c r="AY27" s="80">
        <f>SUM(AY23:AY26)-AY26</f>
        <v>2834750</v>
      </c>
      <c r="AZ27" s="80">
        <f>SUM(AZ23:AZ26)-AZ26</f>
        <v>2812744</v>
      </c>
      <c r="BA27" s="109">
        <f>AZ27-AY27</f>
        <v>-22006</v>
      </c>
      <c r="BB27" s="108">
        <f>BA27/AZ27</f>
        <v>-0.007823676808127579</v>
      </c>
      <c r="BD27" s="296" t="s">
        <v>26</v>
      </c>
      <c r="BE27" s="297"/>
      <c r="BF27" s="80">
        <f>SUM(BF23:BF26)-BF26</f>
        <v>532998</v>
      </c>
      <c r="BG27" s="80">
        <f>SUM(BG23:BG26)-BG26</f>
        <v>503780</v>
      </c>
      <c r="BH27" s="80">
        <f>BG27-BF27</f>
        <v>-29218</v>
      </c>
      <c r="BI27" s="108">
        <f>BH27/BG27</f>
        <v>-0.057997538608122595</v>
      </c>
      <c r="BJ27" s="80">
        <f>SUM(BJ23:BJ26)-BJ26</f>
        <v>3367748</v>
      </c>
      <c r="BK27" s="80">
        <f>SUM(BK23:BK26)-BK26</f>
        <v>3316524</v>
      </c>
      <c r="BL27" s="109">
        <f>BK27-BJ27</f>
        <v>-51224</v>
      </c>
      <c r="BM27" s="108">
        <f>BL27/BK27</f>
        <v>-0.015445086482111995</v>
      </c>
      <c r="BO27" s="296" t="s">
        <v>26</v>
      </c>
      <c r="BP27" s="297"/>
      <c r="BQ27" s="80">
        <f>SUM(BQ23:BQ26)-BQ26</f>
        <v>564598</v>
      </c>
      <c r="BR27" s="80">
        <f>SUM(BR23:BR26)-BR26</f>
        <v>500942</v>
      </c>
      <c r="BS27" s="80">
        <f>BR27-BQ27</f>
        <v>-63656</v>
      </c>
      <c r="BT27" s="108">
        <f>BS27/BR27</f>
        <v>-0.1270725952305856</v>
      </c>
      <c r="BU27" s="80">
        <f>SUM(BU23:BU26)-BU26</f>
        <v>3932346</v>
      </c>
      <c r="BV27" s="80">
        <f>SUM(BV23:BV26)-BV26</f>
        <v>3817466</v>
      </c>
      <c r="BW27" s="109">
        <f>BV27-BU27</f>
        <v>-114880</v>
      </c>
      <c r="BX27" s="108">
        <f>BW27/BV27</f>
        <v>-0.03009326081751612</v>
      </c>
      <c r="BZ27" s="296" t="s">
        <v>26</v>
      </c>
      <c r="CA27" s="297"/>
      <c r="CB27" s="80">
        <f>SUM(CB23:CB26)-CB26</f>
        <v>0</v>
      </c>
      <c r="CC27" s="80">
        <f>SUM(CC23:CC26)-CC26</f>
        <v>500942</v>
      </c>
      <c r="CD27" s="80">
        <f>CC27-CB27</f>
        <v>500942</v>
      </c>
      <c r="CE27" s="108">
        <f>CD27/CC27</f>
        <v>1</v>
      </c>
      <c r="CF27" s="80">
        <f>SUM(CF23:CF26)-CF26</f>
        <v>3932346</v>
      </c>
      <c r="CG27" s="80">
        <f>SUM(CG23:CG26)-CG26</f>
        <v>4318408</v>
      </c>
      <c r="CH27" s="109">
        <f>CG27-CF27</f>
        <v>386062</v>
      </c>
      <c r="CI27" s="108">
        <f>CH27/CG27</f>
        <v>0.08939914894562996</v>
      </c>
      <c r="CK27" s="296" t="s">
        <v>26</v>
      </c>
      <c r="CL27" s="297"/>
      <c r="CM27" s="80">
        <f>SUM(CM23:CM26)-CM26</f>
        <v>0</v>
      </c>
      <c r="CN27" s="80">
        <f>SUM(CN23:CN26)-CN26</f>
        <v>577789</v>
      </c>
      <c r="CO27" s="80">
        <f>CN27-CM27</f>
        <v>577789</v>
      </c>
      <c r="CP27" s="108">
        <f>CO27/CN27</f>
        <v>1</v>
      </c>
      <c r="CQ27" s="80">
        <f>SUM(CQ23:CQ26)-CQ26</f>
        <v>3932346</v>
      </c>
      <c r="CR27" s="80">
        <f>SUM(CR23:CR26)-CR26</f>
        <v>4896197</v>
      </c>
      <c r="CS27" s="109">
        <f>CR27-CQ27</f>
        <v>963851</v>
      </c>
      <c r="CT27" s="108">
        <f>CS27/CR27</f>
        <v>0.19685707090625643</v>
      </c>
      <c r="CV27" s="296" t="s">
        <v>26</v>
      </c>
      <c r="CW27" s="297"/>
      <c r="CX27" s="80">
        <f>SUM(CX23:CX26)</f>
        <v>424542</v>
      </c>
      <c r="CY27" s="80">
        <f>SUM(CY23:CY26)</f>
        <v>507759</v>
      </c>
      <c r="CZ27" s="80">
        <f>CY27-CX27</f>
        <v>83217</v>
      </c>
      <c r="DA27" s="108">
        <f>CZ27/CY27</f>
        <v>0.1638907434432477</v>
      </c>
      <c r="DB27" s="80">
        <f>SUM(DB23:DB26)</f>
        <v>4459128</v>
      </c>
      <c r="DC27" s="80">
        <f>SUM(DC23:DC26)</f>
        <v>5405595</v>
      </c>
      <c r="DD27" s="109">
        <f>DC27-DB27</f>
        <v>946467</v>
      </c>
      <c r="DE27" s="108">
        <f>DD27/DC27</f>
        <v>0.17509025370935113</v>
      </c>
      <c r="DG27" s="296" t="s">
        <v>26</v>
      </c>
      <c r="DH27" s="297"/>
      <c r="DI27" s="80">
        <f>SUM(DI23:DI26)</f>
        <v>680561</v>
      </c>
      <c r="DJ27" s="80">
        <f>SUM(DJ23:DJ26)</f>
        <v>544472</v>
      </c>
      <c r="DK27" s="80">
        <f>DJ27-DI27</f>
        <v>-136089</v>
      </c>
      <c r="DL27" s="108">
        <f>DK27/DJ27</f>
        <v>-0.24994673738961784</v>
      </c>
      <c r="DM27" s="80">
        <f>SUM(DM23:DM26)</f>
        <v>5139689</v>
      </c>
      <c r="DN27" s="80">
        <f>SUM(DN23:DN26)</f>
        <v>5950067</v>
      </c>
      <c r="DO27" s="109">
        <f>DN27-DM27</f>
        <v>810378</v>
      </c>
      <c r="DP27" s="108">
        <f>DO27/DN27</f>
        <v>0.13619644955258486</v>
      </c>
      <c r="DR27" s="296" t="s">
        <v>26</v>
      </c>
      <c r="DS27" s="297"/>
      <c r="DT27" s="80">
        <f>SUM(DT23:DT26)</f>
        <v>566052</v>
      </c>
      <c r="DU27" s="80">
        <f>SUM(DU23:DU26)</f>
        <v>618238</v>
      </c>
      <c r="DV27" s="80">
        <f>DU27-DT27</f>
        <v>52186</v>
      </c>
      <c r="DW27" s="108">
        <f>DV27/DU27</f>
        <v>0.08441085795438003</v>
      </c>
      <c r="DX27" s="80">
        <f>SUM(DX23:DX26)</f>
        <v>5705741</v>
      </c>
      <c r="DY27" s="80">
        <f>SUM(DY23:DY26)</f>
        <v>6568305</v>
      </c>
      <c r="DZ27" s="109">
        <f>DY27-DX27</f>
        <v>862564</v>
      </c>
      <c r="EA27" s="108">
        <f>DZ27/DY27</f>
        <v>0.1313221599788682</v>
      </c>
      <c r="EC27" s="296" t="s">
        <v>26</v>
      </c>
      <c r="ED27" s="297"/>
      <c r="EE27" s="80">
        <f>SUM(EE23:EE26)</f>
        <v>0</v>
      </c>
      <c r="EF27" s="80">
        <f>SUM(EF23:EF26)</f>
        <v>0</v>
      </c>
      <c r="EG27" s="80">
        <f>EF27-EE27</f>
        <v>0</v>
      </c>
      <c r="EH27" s="108" t="e">
        <f>EG27/EF27</f>
        <v>#DIV/0!</v>
      </c>
      <c r="EI27" s="80">
        <f>SUM(EI23:EI26)</f>
        <v>5705741</v>
      </c>
      <c r="EJ27" s="80">
        <f>SUM(EJ23:EJ26)</f>
        <v>6568305</v>
      </c>
      <c r="EK27" s="109">
        <f>EJ27-EI27</f>
        <v>862564</v>
      </c>
      <c r="EL27" s="108">
        <f>EK27/EJ27</f>
        <v>0.1313221599788682</v>
      </c>
    </row>
    <row r="29" ht="13.5" thickBot="1"/>
    <row r="30" spans="1:142" ht="13.5" thickBot="1">
      <c r="A30" s="70"/>
      <c r="C30" s="270" t="s">
        <v>197</v>
      </c>
      <c r="D30" s="500" t="s">
        <v>196</v>
      </c>
      <c r="E30" s="498"/>
      <c r="F30" s="499"/>
      <c r="G30" s="270" t="s">
        <v>2</v>
      </c>
      <c r="H30" s="500" t="s">
        <v>198</v>
      </c>
      <c r="I30" s="498"/>
      <c r="J30" s="499"/>
      <c r="L30" s="70"/>
      <c r="N30" s="270" t="s">
        <v>197</v>
      </c>
      <c r="O30" s="500" t="s">
        <v>196</v>
      </c>
      <c r="P30" s="498"/>
      <c r="Q30" s="499"/>
      <c r="R30" s="270" t="s">
        <v>2</v>
      </c>
      <c r="S30" s="500" t="s">
        <v>198</v>
      </c>
      <c r="T30" s="498"/>
      <c r="U30" s="499"/>
      <c r="W30" s="70"/>
      <c r="Y30" s="270" t="s">
        <v>197</v>
      </c>
      <c r="Z30" s="497" t="s">
        <v>196</v>
      </c>
      <c r="AA30" s="498"/>
      <c r="AB30" s="499"/>
      <c r="AC30" s="270" t="s">
        <v>2</v>
      </c>
      <c r="AD30" s="500" t="s">
        <v>224</v>
      </c>
      <c r="AE30" s="498"/>
      <c r="AF30" s="499"/>
      <c r="AH30" s="70"/>
      <c r="AJ30" s="375" t="s">
        <v>197</v>
      </c>
      <c r="AK30" s="500" t="s">
        <v>230</v>
      </c>
      <c r="AL30" s="498"/>
      <c r="AM30" s="499"/>
      <c r="AN30" s="270" t="s">
        <v>2</v>
      </c>
      <c r="AO30" s="500" t="s">
        <v>234</v>
      </c>
      <c r="AP30" s="498"/>
      <c r="AQ30" s="499"/>
      <c r="AS30" s="70"/>
      <c r="AU30" s="270" t="s">
        <v>197</v>
      </c>
      <c r="AV30" s="500" t="s">
        <v>242</v>
      </c>
      <c r="AW30" s="498"/>
      <c r="AX30" s="499"/>
      <c r="AY30" s="270" t="s">
        <v>2</v>
      </c>
      <c r="AZ30" s="500" t="s">
        <v>234</v>
      </c>
      <c r="BA30" s="498"/>
      <c r="BB30" s="499"/>
      <c r="BD30" s="70"/>
      <c r="BF30" s="270" t="s">
        <v>197</v>
      </c>
      <c r="BG30" s="500" t="s">
        <v>230</v>
      </c>
      <c r="BH30" s="498"/>
      <c r="BI30" s="499"/>
      <c r="BJ30" s="270" t="s">
        <v>2</v>
      </c>
      <c r="BK30" s="500" t="s">
        <v>234</v>
      </c>
      <c r="BL30" s="498"/>
      <c r="BM30" s="499"/>
      <c r="BO30" s="70"/>
      <c r="BQ30" s="270" t="s">
        <v>197</v>
      </c>
      <c r="BR30" s="500" t="s">
        <v>230</v>
      </c>
      <c r="BS30" s="498"/>
      <c r="BT30" s="499"/>
      <c r="BU30" s="270" t="s">
        <v>2</v>
      </c>
      <c r="BV30" s="500" t="s">
        <v>234</v>
      </c>
      <c r="BW30" s="498"/>
      <c r="BX30" s="499"/>
      <c r="BZ30" s="70"/>
      <c r="CB30" s="270" t="s">
        <v>197</v>
      </c>
      <c r="CC30" s="497" t="s">
        <v>196</v>
      </c>
      <c r="CD30" s="498"/>
      <c r="CE30" s="499"/>
      <c r="CF30" s="270" t="s">
        <v>2</v>
      </c>
      <c r="CG30" s="500" t="s">
        <v>198</v>
      </c>
      <c r="CH30" s="498"/>
      <c r="CI30" s="499"/>
      <c r="CK30" s="70"/>
      <c r="CM30" s="270" t="s">
        <v>132</v>
      </c>
      <c r="CN30" s="497" t="s">
        <v>196</v>
      </c>
      <c r="CO30" s="498"/>
      <c r="CP30" s="499"/>
      <c r="CQ30" s="270" t="s">
        <v>2</v>
      </c>
      <c r="CR30" s="500" t="s">
        <v>198</v>
      </c>
      <c r="CS30" s="498"/>
      <c r="CT30" s="499"/>
      <c r="CV30" s="70"/>
      <c r="CX30" s="270" t="s">
        <v>132</v>
      </c>
      <c r="CY30" s="497" t="s">
        <v>111</v>
      </c>
      <c r="CZ30" s="498"/>
      <c r="DA30" s="499"/>
      <c r="DB30" s="270" t="s">
        <v>2</v>
      </c>
      <c r="DC30" s="500" t="s">
        <v>149</v>
      </c>
      <c r="DD30" s="498"/>
      <c r="DE30" s="499"/>
      <c r="DG30" s="70"/>
      <c r="DI30" s="270" t="s">
        <v>132</v>
      </c>
      <c r="DJ30" s="497" t="s">
        <v>111</v>
      </c>
      <c r="DK30" s="498"/>
      <c r="DL30" s="499"/>
      <c r="DM30" s="270" t="s">
        <v>2</v>
      </c>
      <c r="DN30" s="500" t="s">
        <v>149</v>
      </c>
      <c r="DO30" s="498"/>
      <c r="DP30" s="499"/>
      <c r="DR30" s="70"/>
      <c r="DT30" s="270" t="s">
        <v>132</v>
      </c>
      <c r="DU30" s="497" t="s">
        <v>111</v>
      </c>
      <c r="DV30" s="498"/>
      <c r="DW30" s="499"/>
      <c r="DX30" s="270" t="s">
        <v>2</v>
      </c>
      <c r="DY30" s="500" t="s">
        <v>149</v>
      </c>
      <c r="DZ30" s="498"/>
      <c r="EA30" s="499"/>
      <c r="EC30" s="70"/>
      <c r="EE30" s="270" t="s">
        <v>132</v>
      </c>
      <c r="EF30" s="497" t="s">
        <v>111</v>
      </c>
      <c r="EG30" s="498"/>
      <c r="EH30" s="499"/>
      <c r="EI30" s="270" t="s">
        <v>2</v>
      </c>
      <c r="EJ30" s="500" t="s">
        <v>149</v>
      </c>
      <c r="EK30" s="498"/>
      <c r="EL30" s="499"/>
    </row>
    <row r="31" spans="3:142" ht="12.75">
      <c r="C31" s="273" t="s">
        <v>18</v>
      </c>
      <c r="D31" s="273" t="s">
        <v>18</v>
      </c>
      <c r="E31" s="273" t="s">
        <v>18</v>
      </c>
      <c r="F31" s="273" t="s">
        <v>10</v>
      </c>
      <c r="G31" s="284" t="s">
        <v>201</v>
      </c>
      <c r="H31" s="284" t="s">
        <v>67</v>
      </c>
      <c r="I31" s="273" t="s">
        <v>18</v>
      </c>
      <c r="J31" s="273" t="s">
        <v>10</v>
      </c>
      <c r="N31" s="273" t="s">
        <v>18</v>
      </c>
      <c r="O31" s="273" t="s">
        <v>18</v>
      </c>
      <c r="P31" s="273" t="s">
        <v>18</v>
      </c>
      <c r="Q31" s="273" t="s">
        <v>10</v>
      </c>
      <c r="R31" s="284" t="s">
        <v>201</v>
      </c>
      <c r="S31" s="284" t="s">
        <v>67</v>
      </c>
      <c r="T31" s="273" t="s">
        <v>18</v>
      </c>
      <c r="U31" s="273" t="s">
        <v>10</v>
      </c>
      <c r="Y31" s="273" t="s">
        <v>18</v>
      </c>
      <c r="Z31" s="273" t="s">
        <v>18</v>
      </c>
      <c r="AA31" s="273" t="s">
        <v>18</v>
      </c>
      <c r="AB31" s="273" t="s">
        <v>10</v>
      </c>
      <c r="AC31" s="300" t="s">
        <v>201</v>
      </c>
      <c r="AD31" s="300" t="s">
        <v>67</v>
      </c>
      <c r="AE31" s="273" t="s">
        <v>18</v>
      </c>
      <c r="AF31" s="273" t="s">
        <v>10</v>
      </c>
      <c r="AJ31" s="273" t="s">
        <v>18</v>
      </c>
      <c r="AK31" s="273" t="s">
        <v>18</v>
      </c>
      <c r="AL31" s="273" t="s">
        <v>18</v>
      </c>
      <c r="AM31" s="273" t="s">
        <v>10</v>
      </c>
      <c r="AN31" s="300" t="s">
        <v>201</v>
      </c>
      <c r="AO31" s="300" t="s">
        <v>67</v>
      </c>
      <c r="AP31" s="273" t="s">
        <v>18</v>
      </c>
      <c r="AQ31" s="273" t="s">
        <v>10</v>
      </c>
      <c r="AU31" s="273" t="s">
        <v>18</v>
      </c>
      <c r="AV31" s="273" t="s">
        <v>18</v>
      </c>
      <c r="AW31" s="273" t="s">
        <v>18</v>
      </c>
      <c r="AX31" s="273" t="s">
        <v>10</v>
      </c>
      <c r="AY31" s="300" t="s">
        <v>201</v>
      </c>
      <c r="AZ31" s="300" t="s">
        <v>67</v>
      </c>
      <c r="BA31" s="273" t="s">
        <v>18</v>
      </c>
      <c r="BB31" s="273" t="s">
        <v>10</v>
      </c>
      <c r="BF31" s="273" t="s">
        <v>18</v>
      </c>
      <c r="BG31" s="273" t="s">
        <v>18</v>
      </c>
      <c r="BH31" s="273" t="s">
        <v>18</v>
      </c>
      <c r="BI31" s="273" t="s">
        <v>10</v>
      </c>
      <c r="BJ31" s="300" t="s">
        <v>201</v>
      </c>
      <c r="BK31" s="300" t="s">
        <v>67</v>
      </c>
      <c r="BL31" s="273" t="s">
        <v>18</v>
      </c>
      <c r="BM31" s="273" t="s">
        <v>10</v>
      </c>
      <c r="BQ31" s="273" t="s">
        <v>18</v>
      </c>
      <c r="BR31" s="273" t="s">
        <v>18</v>
      </c>
      <c r="BS31" s="273" t="s">
        <v>18</v>
      </c>
      <c r="BT31" s="273" t="s">
        <v>10</v>
      </c>
      <c r="BU31" s="300" t="s">
        <v>201</v>
      </c>
      <c r="BV31" s="300" t="s">
        <v>67</v>
      </c>
      <c r="BW31" s="273" t="s">
        <v>18</v>
      </c>
      <c r="BX31" s="273" t="s">
        <v>10</v>
      </c>
      <c r="CB31" s="273" t="s">
        <v>18</v>
      </c>
      <c r="CC31" s="273" t="s">
        <v>18</v>
      </c>
      <c r="CD31" s="273" t="s">
        <v>18</v>
      </c>
      <c r="CE31" s="273" t="s">
        <v>10</v>
      </c>
      <c r="CF31" s="300" t="s">
        <v>201</v>
      </c>
      <c r="CG31" s="300" t="s">
        <v>67</v>
      </c>
      <c r="CH31" s="273" t="s">
        <v>18</v>
      </c>
      <c r="CI31" s="273" t="s">
        <v>10</v>
      </c>
      <c r="CM31" s="273" t="s">
        <v>18</v>
      </c>
      <c r="CN31" s="273" t="s">
        <v>18</v>
      </c>
      <c r="CO31" s="273" t="s">
        <v>18</v>
      </c>
      <c r="CP31" s="273" t="s">
        <v>10</v>
      </c>
      <c r="CQ31" s="300" t="s">
        <v>201</v>
      </c>
      <c r="CR31" s="300" t="s">
        <v>67</v>
      </c>
      <c r="CS31" s="273" t="s">
        <v>18</v>
      </c>
      <c r="CT31" s="273" t="s">
        <v>10</v>
      </c>
      <c r="CX31" s="273" t="s">
        <v>18</v>
      </c>
      <c r="CY31" s="273" t="s">
        <v>18</v>
      </c>
      <c r="CZ31" s="273" t="s">
        <v>18</v>
      </c>
      <c r="DA31" s="273" t="s">
        <v>10</v>
      </c>
      <c r="DB31" s="300" t="s">
        <v>67</v>
      </c>
      <c r="DC31" s="273" t="s">
        <v>5</v>
      </c>
      <c r="DD31" s="273" t="s">
        <v>18</v>
      </c>
      <c r="DE31" s="273" t="s">
        <v>10</v>
      </c>
      <c r="DI31" s="273" t="s">
        <v>18</v>
      </c>
      <c r="DJ31" s="273" t="s">
        <v>18</v>
      </c>
      <c r="DK31" s="273" t="s">
        <v>18</v>
      </c>
      <c r="DL31" s="273" t="s">
        <v>10</v>
      </c>
      <c r="DM31" s="300" t="s">
        <v>67</v>
      </c>
      <c r="DN31" s="273" t="s">
        <v>5</v>
      </c>
      <c r="DO31" s="273" t="s">
        <v>18</v>
      </c>
      <c r="DP31" s="273" t="s">
        <v>10</v>
      </c>
      <c r="DT31" s="273" t="s">
        <v>18</v>
      </c>
      <c r="DU31" s="273" t="s">
        <v>18</v>
      </c>
      <c r="DV31" s="273" t="s">
        <v>18</v>
      </c>
      <c r="DW31" s="273" t="s">
        <v>10</v>
      </c>
      <c r="DX31" s="300" t="s">
        <v>67</v>
      </c>
      <c r="DY31" s="273" t="s">
        <v>5</v>
      </c>
      <c r="DZ31" s="273" t="s">
        <v>18</v>
      </c>
      <c r="EA31" s="273" t="s">
        <v>10</v>
      </c>
      <c r="EE31" s="273" t="s">
        <v>18</v>
      </c>
      <c r="EF31" s="273" t="s">
        <v>18</v>
      </c>
      <c r="EG31" s="273" t="s">
        <v>18</v>
      </c>
      <c r="EH31" s="273" t="s">
        <v>10</v>
      </c>
      <c r="EI31" s="300" t="s">
        <v>67</v>
      </c>
      <c r="EJ31" s="273" t="s">
        <v>5</v>
      </c>
      <c r="EK31" s="273" t="s">
        <v>18</v>
      </c>
      <c r="EL31" s="273" t="s">
        <v>10</v>
      </c>
    </row>
    <row r="32" spans="3:142" ht="13.5" thickBot="1">
      <c r="C32" s="237" t="s">
        <v>110</v>
      </c>
      <c r="D32" s="427" t="s">
        <v>67</v>
      </c>
      <c r="E32" s="276"/>
      <c r="F32" s="276"/>
      <c r="G32" s="276" t="s">
        <v>18</v>
      </c>
      <c r="H32" s="276" t="s">
        <v>18</v>
      </c>
      <c r="I32" s="291"/>
      <c r="J32" s="282"/>
      <c r="N32" s="237" t="s">
        <v>113</v>
      </c>
      <c r="O32" s="427" t="s">
        <v>67</v>
      </c>
      <c r="P32" s="276"/>
      <c r="Q32" s="276"/>
      <c r="R32" s="276" t="s">
        <v>18</v>
      </c>
      <c r="S32" s="276" t="s">
        <v>18</v>
      </c>
      <c r="T32" s="291"/>
      <c r="U32" s="282"/>
      <c r="Y32" s="237" t="s">
        <v>114</v>
      </c>
      <c r="Z32" s="299" t="s">
        <v>67</v>
      </c>
      <c r="AA32" s="276"/>
      <c r="AB32" s="276"/>
      <c r="AC32" s="276" t="s">
        <v>18</v>
      </c>
      <c r="AD32" s="276" t="s">
        <v>18</v>
      </c>
      <c r="AE32" s="291"/>
      <c r="AF32" s="282"/>
      <c r="AJ32" s="237" t="s">
        <v>115</v>
      </c>
      <c r="AK32" s="299" t="s">
        <v>67</v>
      </c>
      <c r="AL32" s="276"/>
      <c r="AM32" s="276"/>
      <c r="AN32" s="276" t="s">
        <v>18</v>
      </c>
      <c r="AO32" s="276" t="s">
        <v>18</v>
      </c>
      <c r="AP32" s="291"/>
      <c r="AQ32" s="282"/>
      <c r="AU32" s="237" t="s">
        <v>116</v>
      </c>
      <c r="AV32" s="299" t="s">
        <v>67</v>
      </c>
      <c r="AW32" s="276"/>
      <c r="AX32" s="276"/>
      <c r="AY32" s="276" t="s">
        <v>18</v>
      </c>
      <c r="AZ32" s="276" t="s">
        <v>18</v>
      </c>
      <c r="BA32" s="291"/>
      <c r="BB32" s="282"/>
      <c r="BF32" s="237" t="s">
        <v>117</v>
      </c>
      <c r="BG32" s="276" t="s">
        <v>5</v>
      </c>
      <c r="BH32" s="276"/>
      <c r="BI32" s="276"/>
      <c r="BJ32" s="276" t="s">
        <v>18</v>
      </c>
      <c r="BK32" s="276" t="s">
        <v>18</v>
      </c>
      <c r="BL32" s="291"/>
      <c r="BM32" s="282"/>
      <c r="BQ32" s="237" t="s">
        <v>118</v>
      </c>
      <c r="BR32" s="299" t="s">
        <v>67</v>
      </c>
      <c r="BS32" s="276"/>
      <c r="BT32" s="276"/>
      <c r="BU32" s="276" t="s">
        <v>18</v>
      </c>
      <c r="BV32" s="276" t="s">
        <v>18</v>
      </c>
      <c r="BW32" s="291"/>
      <c r="BX32" s="282"/>
      <c r="CB32" s="237" t="s">
        <v>119</v>
      </c>
      <c r="CC32" s="299" t="s">
        <v>67</v>
      </c>
      <c r="CD32" s="276"/>
      <c r="CE32" s="276"/>
      <c r="CF32" s="276" t="s">
        <v>18</v>
      </c>
      <c r="CG32" s="276" t="s">
        <v>18</v>
      </c>
      <c r="CH32" s="291"/>
      <c r="CI32" s="282"/>
      <c r="CM32" s="237" t="s">
        <v>120</v>
      </c>
      <c r="CN32" s="299" t="s">
        <v>67</v>
      </c>
      <c r="CO32" s="276"/>
      <c r="CP32" s="276"/>
      <c r="CQ32" s="276" t="s">
        <v>18</v>
      </c>
      <c r="CR32" s="276" t="s">
        <v>18</v>
      </c>
      <c r="CS32" s="291"/>
      <c r="CT32" s="282"/>
      <c r="CX32" s="237" t="s">
        <v>121</v>
      </c>
      <c r="CY32" s="276" t="s">
        <v>5</v>
      </c>
      <c r="CZ32" s="276"/>
      <c r="DA32" s="276"/>
      <c r="DB32" s="276" t="s">
        <v>18</v>
      </c>
      <c r="DC32" s="276" t="s">
        <v>18</v>
      </c>
      <c r="DD32" s="291"/>
      <c r="DE32" s="282"/>
      <c r="DI32" s="237" t="s">
        <v>122</v>
      </c>
      <c r="DJ32" s="276" t="s">
        <v>5</v>
      </c>
      <c r="DK32" s="276"/>
      <c r="DL32" s="276"/>
      <c r="DM32" s="276" t="s">
        <v>18</v>
      </c>
      <c r="DN32" s="276" t="s">
        <v>18</v>
      </c>
      <c r="DO32" s="291"/>
      <c r="DP32" s="282"/>
      <c r="DT32" s="237" t="s">
        <v>123</v>
      </c>
      <c r="DU32" s="276" t="s">
        <v>5</v>
      </c>
      <c r="DV32" s="276"/>
      <c r="DW32" s="276"/>
      <c r="DX32" s="276" t="s">
        <v>18</v>
      </c>
      <c r="DY32" s="276" t="s">
        <v>18</v>
      </c>
      <c r="DZ32" s="291"/>
      <c r="EA32" s="282"/>
      <c r="EE32" s="237" t="s">
        <v>1</v>
      </c>
      <c r="EF32" s="276" t="s">
        <v>5</v>
      </c>
      <c r="EG32" s="276"/>
      <c r="EH32" s="276"/>
      <c r="EI32" s="276" t="s">
        <v>18</v>
      </c>
      <c r="EJ32" s="276" t="s">
        <v>18</v>
      </c>
      <c r="EK32" s="291"/>
      <c r="EL32" s="282"/>
    </row>
    <row r="33" spans="1:142" ht="13.5" thickBot="1">
      <c r="A33" s="281" t="s">
        <v>175</v>
      </c>
      <c r="B33" s="298">
        <v>2900</v>
      </c>
      <c r="C33" s="72">
        <f aca="true" t="shared" si="26" ref="C33:D36">SUM(C13-C23)</f>
        <v>135086</v>
      </c>
      <c r="D33" s="72">
        <f t="shared" si="26"/>
        <v>-164347</v>
      </c>
      <c r="E33" s="72">
        <f>D33-C33</f>
        <v>-299433</v>
      </c>
      <c r="F33" s="73">
        <f>E33/D33</f>
        <v>1.8219559833766361</v>
      </c>
      <c r="G33" s="72">
        <f aca="true" t="shared" si="27" ref="G33:H36">SUM(C33)</f>
        <v>135086</v>
      </c>
      <c r="H33" s="72">
        <f t="shared" si="27"/>
        <v>-164347</v>
      </c>
      <c r="I33" s="87">
        <f>H33-G33</f>
        <v>-299433</v>
      </c>
      <c r="J33" s="73">
        <f>I33/H33</f>
        <v>1.8219559833766361</v>
      </c>
      <c r="L33" s="281" t="s">
        <v>175</v>
      </c>
      <c r="M33" s="298">
        <v>2900</v>
      </c>
      <c r="N33" s="72">
        <f aca="true" t="shared" si="28" ref="N33:O36">SUM(N13-N23)</f>
        <v>-80654</v>
      </c>
      <c r="O33" s="72">
        <f t="shared" si="28"/>
        <v>-57215</v>
      </c>
      <c r="P33" s="72">
        <f>O33-N33</f>
        <v>23439</v>
      </c>
      <c r="Q33" s="73">
        <f>P33/O33</f>
        <v>-0.4096652975618282</v>
      </c>
      <c r="R33" s="72">
        <f aca="true" t="shared" si="29" ref="R33:S36">SUM(G33+N33)</f>
        <v>54432</v>
      </c>
      <c r="S33" s="72">
        <f t="shared" si="29"/>
        <v>-221562</v>
      </c>
      <c r="T33" s="87">
        <f>S33-R33</f>
        <v>-275994</v>
      </c>
      <c r="U33" s="73">
        <f>T33/S33</f>
        <v>1.245673897148428</v>
      </c>
      <c r="W33" s="281" t="s">
        <v>175</v>
      </c>
      <c r="X33" s="298">
        <v>2900</v>
      </c>
      <c r="Y33" s="72">
        <f aca="true" t="shared" si="30" ref="Y33:Z36">SUM(Y13-Y23)</f>
        <v>100125</v>
      </c>
      <c r="Z33" s="72">
        <f t="shared" si="30"/>
        <v>-236467</v>
      </c>
      <c r="AA33" s="72">
        <f>Z33-Y33</f>
        <v>-336592</v>
      </c>
      <c r="AB33" s="73">
        <f>AA33/Z33</f>
        <v>1.4234206041434958</v>
      </c>
      <c r="AC33" s="72">
        <f aca="true" t="shared" si="31" ref="AC33:AD36">SUM(R33+Y33)</f>
        <v>154557</v>
      </c>
      <c r="AD33" s="72">
        <f t="shared" si="31"/>
        <v>-458029</v>
      </c>
      <c r="AE33" s="87">
        <f>AD33-AC33</f>
        <v>-612586</v>
      </c>
      <c r="AF33" s="73">
        <f>AE33/AD33</f>
        <v>1.3374393324440155</v>
      </c>
      <c r="AH33" s="281" t="s">
        <v>175</v>
      </c>
      <c r="AI33" s="298">
        <v>2900</v>
      </c>
      <c r="AJ33" s="72">
        <f aca="true" t="shared" si="32" ref="AJ33:AK36">SUM(AJ13-AJ23)</f>
        <v>-1407</v>
      </c>
      <c r="AK33" s="72">
        <f t="shared" si="32"/>
        <v>3815</v>
      </c>
      <c r="AL33" s="72">
        <f>AK33-AJ33</f>
        <v>5222</v>
      </c>
      <c r="AM33" s="73">
        <f>AL33/AK33</f>
        <v>1.3688073394495412</v>
      </c>
      <c r="AN33" s="72">
        <f aca="true" t="shared" si="33" ref="AN33:AO36">SUM(AC33+AJ33)</f>
        <v>153150</v>
      </c>
      <c r="AO33" s="72">
        <f t="shared" si="33"/>
        <v>-454214</v>
      </c>
      <c r="AP33" s="87">
        <f>AO33-AN33</f>
        <v>-607364</v>
      </c>
      <c r="AQ33" s="73">
        <f>AP33/AO33</f>
        <v>1.3371758686434148</v>
      </c>
      <c r="AS33" s="281" t="s">
        <v>175</v>
      </c>
      <c r="AT33" s="298">
        <v>2900</v>
      </c>
      <c r="AU33" s="72">
        <f aca="true" t="shared" si="34" ref="AU33:AV36">SUM(AU13-AU23)</f>
        <v>-10919</v>
      </c>
      <c r="AV33" s="72">
        <f t="shared" si="34"/>
        <v>-28941</v>
      </c>
      <c r="AW33" s="72">
        <f>AV33-AU33</f>
        <v>-18022</v>
      </c>
      <c r="AX33" s="73">
        <f>AW33/AV33</f>
        <v>0.6227151791575964</v>
      </c>
      <c r="AY33" s="72">
        <f aca="true" t="shared" si="35" ref="AY33:AZ36">SUM(AN33+AU33)</f>
        <v>142231</v>
      </c>
      <c r="AZ33" s="72">
        <f t="shared" si="35"/>
        <v>-483155</v>
      </c>
      <c r="BA33" s="87">
        <f>AZ33-AY33</f>
        <v>-625386</v>
      </c>
      <c r="BB33" s="73">
        <f>BA33/AZ33</f>
        <v>1.2943796504227423</v>
      </c>
      <c r="BD33" s="281" t="s">
        <v>175</v>
      </c>
      <c r="BE33" s="298">
        <v>2900</v>
      </c>
      <c r="BF33" s="72">
        <f aca="true" t="shared" si="36" ref="BF33:BG36">SUM(BF13-BF23)</f>
        <v>-7377</v>
      </c>
      <c r="BG33" s="72">
        <f t="shared" si="36"/>
        <v>29861</v>
      </c>
      <c r="BH33" s="72">
        <f>BG33-BF33</f>
        <v>37238</v>
      </c>
      <c r="BI33" s="73">
        <f>BH33/BG33</f>
        <v>1.2470446401661028</v>
      </c>
      <c r="BJ33" s="72">
        <f aca="true" t="shared" si="37" ref="BJ33:BK36">SUM(AY33+BF33)</f>
        <v>134854</v>
      </c>
      <c r="BK33" s="72">
        <f t="shared" si="37"/>
        <v>-453294</v>
      </c>
      <c r="BL33" s="87">
        <f>BK33-BJ33</f>
        <v>-588148</v>
      </c>
      <c r="BM33" s="73">
        <f>BL33/BK33</f>
        <v>1.2974978711388194</v>
      </c>
      <c r="BO33" s="281" t="s">
        <v>175</v>
      </c>
      <c r="BP33" s="298">
        <v>2900</v>
      </c>
      <c r="BQ33" s="72">
        <f aca="true" t="shared" si="38" ref="BQ33:BR36">SUM(BQ13-BQ23)</f>
        <v>24052</v>
      </c>
      <c r="BR33" s="72">
        <f t="shared" si="38"/>
        <v>-68717</v>
      </c>
      <c r="BS33" s="72">
        <f>BR33-BQ33</f>
        <v>-92769</v>
      </c>
      <c r="BT33" s="73">
        <f>BS33/BR33</f>
        <v>1.3500152800617022</v>
      </c>
      <c r="BU33" s="72">
        <f aca="true" t="shared" si="39" ref="BU33:BV36">SUM(BJ33+BQ33)</f>
        <v>158906</v>
      </c>
      <c r="BV33" s="72">
        <f t="shared" si="39"/>
        <v>-522011</v>
      </c>
      <c r="BW33" s="87">
        <f>BV33-BU33</f>
        <v>-680917</v>
      </c>
      <c r="BX33" s="73">
        <f>BW33/BV33</f>
        <v>1.3044112097254656</v>
      </c>
      <c r="BZ33" s="281" t="s">
        <v>175</v>
      </c>
      <c r="CA33" s="298">
        <v>2900</v>
      </c>
      <c r="CB33" s="72">
        <f aca="true" t="shared" si="40" ref="CB33:CC36">SUM(CB13-CB23)</f>
        <v>567652</v>
      </c>
      <c r="CC33" s="72">
        <f t="shared" si="40"/>
        <v>38773</v>
      </c>
      <c r="CD33" s="72">
        <f>CC33-CB33</f>
        <v>-528879</v>
      </c>
      <c r="CE33" s="73">
        <f>CD33/CC33</f>
        <v>-13.64039408866995</v>
      </c>
      <c r="CF33" s="72">
        <f aca="true" t="shared" si="41" ref="CF33:CG36">SUM(BU33+CB33)</f>
        <v>726558</v>
      </c>
      <c r="CG33" s="72">
        <f t="shared" si="41"/>
        <v>-483238</v>
      </c>
      <c r="CH33" s="87">
        <f>CG33-CF33</f>
        <v>-1209796</v>
      </c>
      <c r="CI33" s="73">
        <f>CH33/CG33</f>
        <v>2.503520004635397</v>
      </c>
      <c r="CK33" s="281" t="s">
        <v>175</v>
      </c>
      <c r="CL33" s="298">
        <v>2900</v>
      </c>
      <c r="CM33" s="72">
        <f>SUM(CM13-CM23)</f>
        <v>585962</v>
      </c>
      <c r="CN33" s="72">
        <f>559452+24</f>
        <v>559476</v>
      </c>
      <c r="CO33" s="72">
        <f>CN33-CM33</f>
        <v>-26486</v>
      </c>
      <c r="CP33" s="73">
        <f>CO33/CN33</f>
        <v>-0.047340725965010114</v>
      </c>
      <c r="CQ33" s="72">
        <f aca="true" t="shared" si="42" ref="CQ33:CR36">SUM(CF33+CM33)</f>
        <v>1312520</v>
      </c>
      <c r="CR33" s="72">
        <f t="shared" si="42"/>
        <v>76238</v>
      </c>
      <c r="CS33" s="87">
        <f>CR33-CQ33</f>
        <v>-1236282</v>
      </c>
      <c r="CT33" s="73">
        <f>CS33/CR33</f>
        <v>-16.21608646606679</v>
      </c>
      <c r="CV33" s="281" t="s">
        <v>175</v>
      </c>
      <c r="CW33" s="298">
        <v>2900</v>
      </c>
      <c r="CX33" s="72">
        <f aca="true" t="shared" si="43" ref="CX33:CY36">SUM(CX13-CX23)</f>
        <v>54190</v>
      </c>
      <c r="CY33" s="72">
        <f t="shared" si="43"/>
        <v>-108834</v>
      </c>
      <c r="CZ33" s="72">
        <f>CY33-CX33</f>
        <v>-163024</v>
      </c>
      <c r="DA33" s="73">
        <f>CZ33/CY33</f>
        <v>1.4979142547365714</v>
      </c>
      <c r="DB33" s="72">
        <f aca="true" t="shared" si="44" ref="DB33:DC36">SUM(CQ33+CX33)</f>
        <v>1366710</v>
      </c>
      <c r="DC33" s="72">
        <f t="shared" si="44"/>
        <v>-32596</v>
      </c>
      <c r="DD33" s="87">
        <f>DC33-DB33</f>
        <v>-1399306</v>
      </c>
      <c r="DE33" s="73">
        <f>DD33/DC33</f>
        <v>42.92876426555406</v>
      </c>
      <c r="DG33" s="281" t="s">
        <v>175</v>
      </c>
      <c r="DH33" s="298">
        <v>2900</v>
      </c>
      <c r="DI33" s="72">
        <f aca="true" t="shared" si="45" ref="DI33:DJ36">SUM(DI13-DI23)</f>
        <v>22724</v>
      </c>
      <c r="DJ33" s="72">
        <f t="shared" si="45"/>
        <v>-89904</v>
      </c>
      <c r="DK33" s="72">
        <f>DJ33-DI33</f>
        <v>-112628</v>
      </c>
      <c r="DL33" s="73">
        <f>DK33/DJ33</f>
        <v>1.2527584979533726</v>
      </c>
      <c r="DM33" s="72">
        <f aca="true" t="shared" si="46" ref="DM33:DN36">SUM(DB33+DI33)</f>
        <v>1389434</v>
      </c>
      <c r="DN33" s="72">
        <f t="shared" si="46"/>
        <v>-122500</v>
      </c>
      <c r="DO33" s="87">
        <f>DN33-DM33</f>
        <v>-1511934</v>
      </c>
      <c r="DP33" s="73">
        <f>DO33/DN33</f>
        <v>12.34231836734694</v>
      </c>
      <c r="DR33" s="281" t="s">
        <v>175</v>
      </c>
      <c r="DS33" s="298">
        <v>2900</v>
      </c>
      <c r="DT33" s="72">
        <f aca="true" t="shared" si="47" ref="DT33:DU36">SUM(DT13-DT23)</f>
        <v>30320</v>
      </c>
      <c r="DU33" s="72">
        <f t="shared" si="47"/>
        <v>-200474</v>
      </c>
      <c r="DV33" s="72">
        <f>DU33-DT33</f>
        <v>-230794</v>
      </c>
      <c r="DW33" s="73">
        <f>DV33/DU33</f>
        <v>1.1512415575087043</v>
      </c>
      <c r="DX33" s="72">
        <f aca="true" t="shared" si="48" ref="DX33:DY36">SUM(DM33+DT33)</f>
        <v>1419754</v>
      </c>
      <c r="DY33" s="72">
        <f t="shared" si="48"/>
        <v>-322974</v>
      </c>
      <c r="DZ33" s="87">
        <f>DY33-DX33</f>
        <v>-1742728</v>
      </c>
      <c r="EA33" s="73">
        <f>DZ33/DY33</f>
        <v>5.395877067503886</v>
      </c>
      <c r="EC33" s="281" t="s">
        <v>175</v>
      </c>
      <c r="ED33" s="298">
        <v>2900</v>
      </c>
      <c r="EE33" s="72">
        <f aca="true" t="shared" si="49" ref="EE33:EF36">SUM(EE13-EE23)</f>
        <v>459573</v>
      </c>
      <c r="EF33" s="72">
        <f t="shared" si="49"/>
        <v>523008</v>
      </c>
      <c r="EG33" s="72">
        <f>EF33-EE33</f>
        <v>63435</v>
      </c>
      <c r="EH33" s="73">
        <f>EG33/EF33</f>
        <v>0.12128877569750367</v>
      </c>
      <c r="EI33" s="72">
        <f aca="true" t="shared" si="50" ref="EI33:EJ36">SUM(DX33+EE33)</f>
        <v>1879327</v>
      </c>
      <c r="EJ33" s="72">
        <f t="shared" si="50"/>
        <v>200034</v>
      </c>
      <c r="EK33" s="87">
        <f>EJ33-EI33</f>
        <v>-1679293</v>
      </c>
      <c r="EL33" s="73">
        <f>EK33/EJ33</f>
        <v>-8.395037843566593</v>
      </c>
    </row>
    <row r="34" spans="1:142" ht="13.5" thickBot="1">
      <c r="A34" s="281" t="s">
        <v>172</v>
      </c>
      <c r="B34" s="298"/>
      <c r="C34" s="72">
        <f t="shared" si="26"/>
        <v>9788</v>
      </c>
      <c r="D34" s="72">
        <f t="shared" si="26"/>
        <v>1219</v>
      </c>
      <c r="E34" s="72">
        <f>D34-C34</f>
        <v>-8569</v>
      </c>
      <c r="F34" s="73">
        <f>E34/D34</f>
        <v>-7.029532403609516</v>
      </c>
      <c r="G34" s="72">
        <f t="shared" si="27"/>
        <v>9788</v>
      </c>
      <c r="H34" s="72">
        <f t="shared" si="27"/>
        <v>1219</v>
      </c>
      <c r="I34" s="87">
        <f>H34-G34</f>
        <v>-8569</v>
      </c>
      <c r="J34" s="73">
        <f>I34/H34</f>
        <v>-7.029532403609516</v>
      </c>
      <c r="L34" s="281" t="s">
        <v>172</v>
      </c>
      <c r="M34" s="298"/>
      <c r="N34" s="72">
        <f t="shared" si="28"/>
        <v>1120</v>
      </c>
      <c r="O34" s="72">
        <f t="shared" si="28"/>
        <v>-12017</v>
      </c>
      <c r="P34" s="72">
        <f>O34-N34</f>
        <v>-13137</v>
      </c>
      <c r="Q34" s="73">
        <f>P34/O34</f>
        <v>1.0932012981609387</v>
      </c>
      <c r="R34" s="72">
        <f t="shared" si="29"/>
        <v>10908</v>
      </c>
      <c r="S34" s="72">
        <f t="shared" si="29"/>
        <v>-10798</v>
      </c>
      <c r="T34" s="87">
        <f>S34-R34</f>
        <v>-21706</v>
      </c>
      <c r="U34" s="73">
        <f>T34/S34</f>
        <v>2.010187071679941</v>
      </c>
      <c r="W34" s="281" t="s">
        <v>172</v>
      </c>
      <c r="X34" s="298"/>
      <c r="Y34" s="72">
        <f t="shared" si="30"/>
        <v>-1353</v>
      </c>
      <c r="Z34" s="72">
        <f t="shared" si="30"/>
        <v>2360</v>
      </c>
      <c r="AA34" s="72">
        <f>Z34-Y34</f>
        <v>3713</v>
      </c>
      <c r="AB34" s="73">
        <f>AA34/Z34</f>
        <v>1.5733050847457628</v>
      </c>
      <c r="AC34" s="72">
        <f t="shared" si="31"/>
        <v>9555</v>
      </c>
      <c r="AD34" s="72">
        <f t="shared" si="31"/>
        <v>-8438</v>
      </c>
      <c r="AE34" s="87">
        <f>AD34-AC34</f>
        <v>-17993</v>
      </c>
      <c r="AF34" s="73">
        <f>AE34/AD34</f>
        <v>2.1323773406020385</v>
      </c>
      <c r="AH34" s="281" t="s">
        <v>172</v>
      </c>
      <c r="AI34" s="298"/>
      <c r="AJ34" s="72">
        <f t="shared" si="32"/>
        <v>3274</v>
      </c>
      <c r="AK34" s="72">
        <f t="shared" si="32"/>
        <v>12202</v>
      </c>
      <c r="AL34" s="72">
        <f>AK34-AJ34</f>
        <v>8928</v>
      </c>
      <c r="AM34" s="73">
        <f>AL34/AK34</f>
        <v>0.7316833306015408</v>
      </c>
      <c r="AN34" s="72">
        <f t="shared" si="33"/>
        <v>12829</v>
      </c>
      <c r="AO34" s="72">
        <f t="shared" si="33"/>
        <v>3764</v>
      </c>
      <c r="AP34" s="87">
        <f>AO34-AN34</f>
        <v>-9065</v>
      </c>
      <c r="AQ34" s="73">
        <f>AP34/AO34</f>
        <v>-2.4083421891604675</v>
      </c>
      <c r="AS34" s="281" t="s">
        <v>172</v>
      </c>
      <c r="AT34" s="298"/>
      <c r="AU34" s="72">
        <f t="shared" si="34"/>
        <v>-3960</v>
      </c>
      <c r="AV34" s="72">
        <f t="shared" si="34"/>
        <v>4265</v>
      </c>
      <c r="AW34" s="72">
        <f>AV34-AU34</f>
        <v>8225</v>
      </c>
      <c r="AX34" s="73">
        <f>AW34/AV34</f>
        <v>1.928487690504103</v>
      </c>
      <c r="AY34" s="72">
        <f t="shared" si="35"/>
        <v>8869</v>
      </c>
      <c r="AZ34" s="72">
        <f t="shared" si="35"/>
        <v>8029</v>
      </c>
      <c r="BA34" s="87">
        <f>AZ34-AY34</f>
        <v>-840</v>
      </c>
      <c r="BB34" s="73">
        <f>BA34/AZ34</f>
        <v>-0.1046207497820401</v>
      </c>
      <c r="BD34" s="281" t="s">
        <v>172</v>
      </c>
      <c r="BE34" s="298"/>
      <c r="BF34" s="72">
        <f t="shared" si="36"/>
        <v>4835</v>
      </c>
      <c r="BG34" s="72">
        <f t="shared" si="36"/>
        <v>-6110</v>
      </c>
      <c r="BH34" s="72">
        <f>BG34-BF34</f>
        <v>-10945</v>
      </c>
      <c r="BI34" s="73">
        <f>BH34/BG34</f>
        <v>1.7913256955810146</v>
      </c>
      <c r="BJ34" s="72">
        <f t="shared" si="37"/>
        <v>13704</v>
      </c>
      <c r="BK34" s="72">
        <f t="shared" si="37"/>
        <v>1919</v>
      </c>
      <c r="BL34" s="87">
        <f>BK34-BJ34</f>
        <v>-11785</v>
      </c>
      <c r="BM34" s="73">
        <f>BL34/BK34</f>
        <v>-6.141219385096404</v>
      </c>
      <c r="BO34" s="281" t="s">
        <v>172</v>
      </c>
      <c r="BP34" s="298"/>
      <c r="BQ34" s="72">
        <f t="shared" si="38"/>
        <v>2347</v>
      </c>
      <c r="BR34" s="72">
        <f t="shared" si="38"/>
        <v>17068</v>
      </c>
      <c r="BS34" s="72">
        <f>BR34-BQ34</f>
        <v>14721</v>
      </c>
      <c r="BT34" s="73">
        <f>BS34/BR34</f>
        <v>0.8624912116240918</v>
      </c>
      <c r="BU34" s="72">
        <f t="shared" si="39"/>
        <v>16051</v>
      </c>
      <c r="BV34" s="72">
        <f t="shared" si="39"/>
        <v>18987</v>
      </c>
      <c r="BW34" s="87">
        <f>BV34-BU34</f>
        <v>2936</v>
      </c>
      <c r="BX34" s="73">
        <f>BW34/BV34</f>
        <v>0.15463211671143415</v>
      </c>
      <c r="BZ34" s="281" t="s">
        <v>172</v>
      </c>
      <c r="CA34" s="298"/>
      <c r="CB34" s="72">
        <f t="shared" si="40"/>
        <v>15162</v>
      </c>
      <c r="CC34" s="72">
        <f t="shared" si="40"/>
        <v>20917</v>
      </c>
      <c r="CD34" s="72">
        <f>CC34-CB34</f>
        <v>5755</v>
      </c>
      <c r="CE34" s="73">
        <f>CD34/CC34</f>
        <v>0.2751350576086437</v>
      </c>
      <c r="CF34" s="72">
        <f t="shared" si="41"/>
        <v>31213</v>
      </c>
      <c r="CG34" s="72">
        <f t="shared" si="41"/>
        <v>39904</v>
      </c>
      <c r="CH34" s="87">
        <f>CG34-CF34</f>
        <v>8691</v>
      </c>
      <c r="CI34" s="73">
        <f>CH34/CG34</f>
        <v>0.2177977145148356</v>
      </c>
      <c r="CK34" s="281" t="s">
        <v>172</v>
      </c>
      <c r="CL34" s="298"/>
      <c r="CM34" s="72">
        <f>SUM(CM14-CM24)</f>
        <v>12972</v>
      </c>
      <c r="CN34" s="72">
        <f>4170+10984</f>
        <v>15154</v>
      </c>
      <c r="CO34" s="72">
        <f>CN34-CM34</f>
        <v>2182</v>
      </c>
      <c r="CP34" s="73">
        <f>CO34/CN34</f>
        <v>0.14398838590471164</v>
      </c>
      <c r="CQ34" s="72">
        <f t="shared" si="42"/>
        <v>44185</v>
      </c>
      <c r="CR34" s="72">
        <f t="shared" si="42"/>
        <v>55058</v>
      </c>
      <c r="CS34" s="87">
        <f>CR34-CQ34</f>
        <v>10873</v>
      </c>
      <c r="CT34" s="73">
        <f>CS34/CR34</f>
        <v>0.197482654655091</v>
      </c>
      <c r="CV34" s="281" t="s">
        <v>172</v>
      </c>
      <c r="CW34" s="298"/>
      <c r="CX34" s="72">
        <f t="shared" si="43"/>
        <v>4880</v>
      </c>
      <c r="CY34" s="72">
        <f t="shared" si="43"/>
        <v>9272</v>
      </c>
      <c r="CZ34" s="72">
        <f>CY34-CX34</f>
        <v>4392</v>
      </c>
      <c r="DA34" s="73">
        <f>CZ34/CY34</f>
        <v>0.47368421052631576</v>
      </c>
      <c r="DB34" s="72">
        <f t="shared" si="44"/>
        <v>49065</v>
      </c>
      <c r="DC34" s="72">
        <f t="shared" si="44"/>
        <v>64330</v>
      </c>
      <c r="DD34" s="87">
        <f>DC34-DB34</f>
        <v>15265</v>
      </c>
      <c r="DE34" s="73">
        <f>DD34/DC34</f>
        <v>0.2372920876729364</v>
      </c>
      <c r="DG34" s="281" t="s">
        <v>172</v>
      </c>
      <c r="DH34" s="298"/>
      <c r="DI34" s="72">
        <f t="shared" si="45"/>
        <v>5321</v>
      </c>
      <c r="DJ34" s="72">
        <f t="shared" si="45"/>
        <v>335</v>
      </c>
      <c r="DK34" s="72">
        <f>DJ34-DI34</f>
        <v>-4986</v>
      </c>
      <c r="DL34" s="73">
        <f>DK34/DJ34</f>
        <v>-14.883582089552238</v>
      </c>
      <c r="DM34" s="72">
        <f t="shared" si="46"/>
        <v>54386</v>
      </c>
      <c r="DN34" s="72">
        <f t="shared" si="46"/>
        <v>64665</v>
      </c>
      <c r="DO34" s="87">
        <f>DN34-DM34</f>
        <v>10279</v>
      </c>
      <c r="DP34" s="73">
        <f>DO34/DN34</f>
        <v>0.15895770509549215</v>
      </c>
      <c r="DR34" s="281" t="s">
        <v>172</v>
      </c>
      <c r="DS34" s="298"/>
      <c r="DT34" s="72">
        <f t="shared" si="47"/>
        <v>-21337</v>
      </c>
      <c r="DU34" s="72">
        <f t="shared" si="47"/>
        <v>-3697</v>
      </c>
      <c r="DV34" s="72">
        <f>DU34-DT34</f>
        <v>17640</v>
      </c>
      <c r="DW34" s="73">
        <f>DV34/DU34</f>
        <v>-4.7714362997024615</v>
      </c>
      <c r="DX34" s="72">
        <f t="shared" si="48"/>
        <v>33049</v>
      </c>
      <c r="DY34" s="72">
        <f t="shared" si="48"/>
        <v>60968</v>
      </c>
      <c r="DZ34" s="87">
        <f>DY34-DX34</f>
        <v>27919</v>
      </c>
      <c r="EA34" s="73">
        <f>DZ34/DY34</f>
        <v>0.4579287495079386</v>
      </c>
      <c r="EC34" s="281" t="s">
        <v>172</v>
      </c>
      <c r="ED34" s="298"/>
      <c r="EE34" s="72">
        <f t="shared" si="49"/>
        <v>9388</v>
      </c>
      <c r="EF34" s="72">
        <f t="shared" si="49"/>
        <v>15560</v>
      </c>
      <c r="EG34" s="72">
        <f>EF34-EE34</f>
        <v>6172</v>
      </c>
      <c r="EH34" s="73">
        <f>EG34/EF34</f>
        <v>0.39665809768637533</v>
      </c>
      <c r="EI34" s="72">
        <f t="shared" si="50"/>
        <v>42437</v>
      </c>
      <c r="EJ34" s="72">
        <f t="shared" si="50"/>
        <v>76528</v>
      </c>
      <c r="EK34" s="87">
        <f>EJ34-EI34</f>
        <v>34091</v>
      </c>
      <c r="EL34" s="73">
        <f>EK34/EJ34</f>
        <v>0.4454709387413757</v>
      </c>
    </row>
    <row r="35" spans="1:142" ht="13.5" thickBot="1">
      <c r="A35" s="281" t="s">
        <v>173</v>
      </c>
      <c r="B35" s="298"/>
      <c r="C35" s="72">
        <f t="shared" si="26"/>
        <v>1072</v>
      </c>
      <c r="D35" s="72">
        <f t="shared" si="26"/>
        <v>2589</v>
      </c>
      <c r="E35" s="72">
        <f>D35-C35</f>
        <v>1517</v>
      </c>
      <c r="F35" s="73">
        <f>E35/D35</f>
        <v>0.5859405175743531</v>
      </c>
      <c r="G35" s="72">
        <f t="shared" si="27"/>
        <v>1072</v>
      </c>
      <c r="H35" s="72">
        <f t="shared" si="27"/>
        <v>2589</v>
      </c>
      <c r="I35" s="87">
        <f>H35-G35</f>
        <v>1517</v>
      </c>
      <c r="J35" s="73">
        <f>I35/H35</f>
        <v>0.5859405175743531</v>
      </c>
      <c r="L35" s="281" t="s">
        <v>173</v>
      </c>
      <c r="M35" s="298"/>
      <c r="N35" s="72">
        <f t="shared" si="28"/>
        <v>-1210</v>
      </c>
      <c r="O35" s="72">
        <f t="shared" si="28"/>
        <v>-317</v>
      </c>
      <c r="P35" s="72">
        <f>O35-N35</f>
        <v>893</v>
      </c>
      <c r="Q35" s="73">
        <f>P35/O35</f>
        <v>-2.817034700315457</v>
      </c>
      <c r="R35" s="72">
        <f t="shared" si="29"/>
        <v>-138</v>
      </c>
      <c r="S35" s="72">
        <f t="shared" si="29"/>
        <v>2272</v>
      </c>
      <c r="T35" s="87">
        <f>S35-R35</f>
        <v>2410</v>
      </c>
      <c r="U35" s="73">
        <f>T35/S35</f>
        <v>1.0607394366197183</v>
      </c>
      <c r="W35" s="281" t="s">
        <v>173</v>
      </c>
      <c r="X35" s="298"/>
      <c r="Y35" s="72">
        <f t="shared" si="30"/>
        <v>-2008</v>
      </c>
      <c r="Z35" s="72">
        <f t="shared" si="30"/>
        <v>1019</v>
      </c>
      <c r="AA35" s="72">
        <f>Z35-Y35</f>
        <v>3027</v>
      </c>
      <c r="AB35" s="73">
        <f>AA35/Z35</f>
        <v>2.970559371933268</v>
      </c>
      <c r="AC35" s="72">
        <f t="shared" si="31"/>
        <v>-2146</v>
      </c>
      <c r="AD35" s="72">
        <f t="shared" si="31"/>
        <v>3291</v>
      </c>
      <c r="AE35" s="87">
        <f>AD35-AC35</f>
        <v>5437</v>
      </c>
      <c r="AF35" s="73">
        <f>AE35/AD35</f>
        <v>1.6520814342145245</v>
      </c>
      <c r="AH35" s="281" t="s">
        <v>173</v>
      </c>
      <c r="AI35" s="298"/>
      <c r="AJ35" s="72">
        <f t="shared" si="32"/>
        <v>-1120</v>
      </c>
      <c r="AK35" s="72">
        <f t="shared" si="32"/>
        <v>1345</v>
      </c>
      <c r="AL35" s="72">
        <f>AK35-AJ35</f>
        <v>2465</v>
      </c>
      <c r="AM35" s="73">
        <f>AL35/AK35</f>
        <v>1.8327137546468402</v>
      </c>
      <c r="AN35" s="72">
        <f t="shared" si="33"/>
        <v>-3266</v>
      </c>
      <c r="AO35" s="72">
        <f t="shared" si="33"/>
        <v>4636</v>
      </c>
      <c r="AP35" s="87">
        <f>AO35-AN35</f>
        <v>7902</v>
      </c>
      <c r="AQ35" s="73">
        <f>AP35/AO35</f>
        <v>1.7044866264020708</v>
      </c>
      <c r="AS35" s="281" t="s">
        <v>173</v>
      </c>
      <c r="AT35" s="298"/>
      <c r="AU35" s="72">
        <f t="shared" si="34"/>
        <v>-1765</v>
      </c>
      <c r="AV35" s="72">
        <f t="shared" si="34"/>
        <v>80</v>
      </c>
      <c r="AW35" s="72">
        <f>AV35-AU35</f>
        <v>1845</v>
      </c>
      <c r="AX35" s="73">
        <f>AW35/AV35</f>
        <v>23.0625</v>
      </c>
      <c r="AY35" s="72">
        <f t="shared" si="35"/>
        <v>-5031</v>
      </c>
      <c r="AZ35" s="72">
        <f t="shared" si="35"/>
        <v>4716</v>
      </c>
      <c r="BA35" s="87">
        <f>AZ35-AY35</f>
        <v>9747</v>
      </c>
      <c r="BB35" s="73">
        <f>BA35/AZ35</f>
        <v>2.066793893129771</v>
      </c>
      <c r="BD35" s="281" t="s">
        <v>173</v>
      </c>
      <c r="BE35" s="298"/>
      <c r="BF35" s="72">
        <f t="shared" si="36"/>
        <v>1541</v>
      </c>
      <c r="BG35" s="72">
        <f t="shared" si="36"/>
        <v>-361</v>
      </c>
      <c r="BH35" s="72">
        <f>BG35-BF35</f>
        <v>-1902</v>
      </c>
      <c r="BI35" s="73">
        <f>BH35/BG35</f>
        <v>5.268698060941828</v>
      </c>
      <c r="BJ35" s="72">
        <f t="shared" si="37"/>
        <v>-3490</v>
      </c>
      <c r="BK35" s="72">
        <f t="shared" si="37"/>
        <v>4355</v>
      </c>
      <c r="BL35" s="87">
        <f>BK35-BJ35</f>
        <v>7845</v>
      </c>
      <c r="BM35" s="73">
        <f>BL35/BK35</f>
        <v>1.801377726750861</v>
      </c>
      <c r="BO35" s="281" t="s">
        <v>173</v>
      </c>
      <c r="BP35" s="298"/>
      <c r="BQ35" s="72">
        <f t="shared" si="38"/>
        <v>-1521</v>
      </c>
      <c r="BR35" s="72">
        <f t="shared" si="38"/>
        <v>2922</v>
      </c>
      <c r="BS35" s="72">
        <f>BR35-BQ35</f>
        <v>4443</v>
      </c>
      <c r="BT35" s="73">
        <f>BS35/BR35</f>
        <v>1.5205338809034907</v>
      </c>
      <c r="BU35" s="72">
        <f t="shared" si="39"/>
        <v>-5011</v>
      </c>
      <c r="BV35" s="72">
        <f t="shared" si="39"/>
        <v>7277</v>
      </c>
      <c r="BW35" s="87">
        <f>BV35-BU35</f>
        <v>12288</v>
      </c>
      <c r="BX35" s="73">
        <f>BW35/BV35</f>
        <v>1.6886079428335852</v>
      </c>
      <c r="BZ35" s="281" t="s">
        <v>173</v>
      </c>
      <c r="CA35" s="298"/>
      <c r="CB35" s="72">
        <f t="shared" si="40"/>
        <v>3021</v>
      </c>
      <c r="CC35" s="72">
        <f t="shared" si="40"/>
        <v>953</v>
      </c>
      <c r="CD35" s="72">
        <f>CC35-CB35</f>
        <v>-2068</v>
      </c>
      <c r="CE35" s="73">
        <f>CD35/CC35</f>
        <v>-2.1699895068205666</v>
      </c>
      <c r="CF35" s="72">
        <f t="shared" si="41"/>
        <v>-1990</v>
      </c>
      <c r="CG35" s="72">
        <f t="shared" si="41"/>
        <v>8230</v>
      </c>
      <c r="CH35" s="87">
        <f>CG35-CF35</f>
        <v>10220</v>
      </c>
      <c r="CI35" s="73">
        <f>CH35/CG35</f>
        <v>1.2417982989064398</v>
      </c>
      <c r="CK35" s="281" t="s">
        <v>173</v>
      </c>
      <c r="CL35" s="298"/>
      <c r="CM35" s="72">
        <f>SUM(CM15-CM25)</f>
        <v>3162</v>
      </c>
      <c r="CN35" s="72">
        <v>3159</v>
      </c>
      <c r="CO35" s="72">
        <f>CN35-CM35</f>
        <v>-3</v>
      </c>
      <c r="CP35" s="73">
        <f>CO35/CN35</f>
        <v>-0.000949667616334283</v>
      </c>
      <c r="CQ35" s="72">
        <f t="shared" si="42"/>
        <v>1172</v>
      </c>
      <c r="CR35" s="72">
        <f t="shared" si="42"/>
        <v>11389</v>
      </c>
      <c r="CS35" s="87">
        <f>CR35-CQ35</f>
        <v>10217</v>
      </c>
      <c r="CT35" s="73">
        <f>CS35/CR35</f>
        <v>0.8970936868908596</v>
      </c>
      <c r="CV35" s="281" t="s">
        <v>173</v>
      </c>
      <c r="CW35" s="298"/>
      <c r="CX35" s="72">
        <f t="shared" si="43"/>
        <v>-626</v>
      </c>
      <c r="CY35" s="72">
        <f t="shared" si="43"/>
        <v>999</v>
      </c>
      <c r="CZ35" s="72">
        <f>CY35-CX35</f>
        <v>1625</v>
      </c>
      <c r="DA35" s="73">
        <f>CZ35/CY35</f>
        <v>1.6266266266266267</v>
      </c>
      <c r="DB35" s="72">
        <f t="shared" si="44"/>
        <v>546</v>
      </c>
      <c r="DC35" s="72">
        <f t="shared" si="44"/>
        <v>12388</v>
      </c>
      <c r="DD35" s="87">
        <f>DC35-DB35</f>
        <v>11842</v>
      </c>
      <c r="DE35" s="73">
        <f>DD35/DC35</f>
        <v>0.9559250887956087</v>
      </c>
      <c r="DG35" s="281" t="s">
        <v>173</v>
      </c>
      <c r="DH35" s="298"/>
      <c r="DI35" s="72">
        <f t="shared" si="45"/>
        <v>-1124</v>
      </c>
      <c r="DJ35" s="72">
        <f t="shared" si="45"/>
        <v>83</v>
      </c>
      <c r="DK35" s="72">
        <f>DJ35-DI35</f>
        <v>1207</v>
      </c>
      <c r="DL35" s="73">
        <f>DK35/DJ35</f>
        <v>14.542168674698795</v>
      </c>
      <c r="DM35" s="72">
        <f t="shared" si="46"/>
        <v>-578</v>
      </c>
      <c r="DN35" s="72">
        <f t="shared" si="46"/>
        <v>12471</v>
      </c>
      <c r="DO35" s="87">
        <f>DN35-DM35</f>
        <v>13049</v>
      </c>
      <c r="DP35" s="73">
        <f>DO35/DN35</f>
        <v>1.0463475262609254</v>
      </c>
      <c r="DR35" s="281" t="s">
        <v>173</v>
      </c>
      <c r="DS35" s="298"/>
      <c r="DT35" s="72">
        <f t="shared" si="47"/>
        <v>-2061</v>
      </c>
      <c r="DU35" s="72">
        <f t="shared" si="47"/>
        <v>967</v>
      </c>
      <c r="DV35" s="72">
        <f>DU35-DT35</f>
        <v>3028</v>
      </c>
      <c r="DW35" s="73">
        <f>DV35/DU35</f>
        <v>3.1313340227507758</v>
      </c>
      <c r="DX35" s="72">
        <f t="shared" si="48"/>
        <v>-2639</v>
      </c>
      <c r="DY35" s="72">
        <f t="shared" si="48"/>
        <v>13438</v>
      </c>
      <c r="DZ35" s="87">
        <f>DY35-DX35</f>
        <v>16077</v>
      </c>
      <c r="EA35" s="73">
        <f>DZ35/DY35</f>
        <v>1.196383390385474</v>
      </c>
      <c r="EC35" s="281" t="s">
        <v>173</v>
      </c>
      <c r="ED35" s="298"/>
      <c r="EE35" s="72">
        <f t="shared" si="49"/>
        <v>5127</v>
      </c>
      <c r="EF35" s="72">
        <f t="shared" si="49"/>
        <v>3423</v>
      </c>
      <c r="EG35" s="72">
        <f>EF35-EE35</f>
        <v>-1704</v>
      </c>
      <c r="EH35" s="73">
        <f>EG35/EF35</f>
        <v>-0.49780893952673094</v>
      </c>
      <c r="EI35" s="72">
        <f t="shared" si="50"/>
        <v>2488</v>
      </c>
      <c r="EJ35" s="72">
        <f t="shared" si="50"/>
        <v>16861</v>
      </c>
      <c r="EK35" s="87">
        <f>EJ35-EI35</f>
        <v>14373</v>
      </c>
      <c r="EL35" s="73">
        <f>EK35/EJ35</f>
        <v>0.852440543265524</v>
      </c>
    </row>
    <row r="36" spans="1:142" ht="13.5" thickBot="1">
      <c r="A36" s="281" t="s">
        <v>174</v>
      </c>
      <c r="B36" s="298"/>
      <c r="C36" s="72">
        <f t="shared" si="26"/>
        <v>-14831</v>
      </c>
      <c r="D36" s="72">
        <f t="shared" si="26"/>
        <v>0</v>
      </c>
      <c r="E36" s="72">
        <f>D36-C36</f>
        <v>14831</v>
      </c>
      <c r="F36" s="73" t="e">
        <f>E36/D36</f>
        <v>#DIV/0!</v>
      </c>
      <c r="G36" s="72">
        <f t="shared" si="27"/>
        <v>-14831</v>
      </c>
      <c r="H36" s="72">
        <f t="shared" si="27"/>
        <v>0</v>
      </c>
      <c r="I36" s="87">
        <f>H36-G36</f>
        <v>14831</v>
      </c>
      <c r="J36" s="73" t="e">
        <f>I36/H36</f>
        <v>#DIV/0!</v>
      </c>
      <c r="L36" s="281" t="s">
        <v>174</v>
      </c>
      <c r="M36" s="298"/>
      <c r="N36" s="72">
        <f t="shared" si="28"/>
        <v>966</v>
      </c>
      <c r="O36" s="72">
        <f t="shared" si="28"/>
        <v>-83</v>
      </c>
      <c r="P36" s="72">
        <f>O36-N36</f>
        <v>-1049</v>
      </c>
      <c r="Q36" s="73">
        <f>P36/O36</f>
        <v>12.63855421686747</v>
      </c>
      <c r="R36" s="72">
        <f t="shared" si="29"/>
        <v>-13865</v>
      </c>
      <c r="S36" s="72">
        <f t="shared" si="29"/>
        <v>-83</v>
      </c>
      <c r="T36" s="87">
        <f>S36-R36</f>
        <v>13782</v>
      </c>
      <c r="U36" s="73">
        <f>T36/S36</f>
        <v>-166.04819277108433</v>
      </c>
      <c r="W36" s="281" t="s">
        <v>174</v>
      </c>
      <c r="X36" s="298"/>
      <c r="Y36" s="72">
        <f t="shared" si="30"/>
        <v>-52124</v>
      </c>
      <c r="Z36" s="72">
        <f t="shared" si="30"/>
        <v>-332</v>
      </c>
      <c r="AA36" s="72">
        <f>Z36-Y36</f>
        <v>51792</v>
      </c>
      <c r="AB36" s="73">
        <f>AA36/Z36</f>
        <v>-156</v>
      </c>
      <c r="AC36" s="72">
        <f t="shared" si="31"/>
        <v>-65989</v>
      </c>
      <c r="AD36" s="72">
        <f t="shared" si="31"/>
        <v>-415</v>
      </c>
      <c r="AE36" s="87">
        <f>AD36-AC36</f>
        <v>65574</v>
      </c>
      <c r="AF36" s="73">
        <f>AE36/AD36</f>
        <v>-158.00963855421688</v>
      </c>
      <c r="AH36" s="281" t="s">
        <v>174</v>
      </c>
      <c r="AI36" s="298"/>
      <c r="AJ36" s="72">
        <f t="shared" si="32"/>
        <v>-1747</v>
      </c>
      <c r="AK36" s="72">
        <f t="shared" si="32"/>
        <v>775</v>
      </c>
      <c r="AL36" s="72">
        <f>AK36-AJ36</f>
        <v>2522</v>
      </c>
      <c r="AM36" s="73">
        <f>AL36/AK36</f>
        <v>3.254193548387097</v>
      </c>
      <c r="AN36" s="72">
        <f t="shared" si="33"/>
        <v>-67736</v>
      </c>
      <c r="AO36" s="72">
        <f t="shared" si="33"/>
        <v>360</v>
      </c>
      <c r="AP36" s="87">
        <f>AO36-AN36</f>
        <v>68096</v>
      </c>
      <c r="AQ36" s="73">
        <f>AP36/AO36</f>
        <v>189.15555555555557</v>
      </c>
      <c r="AS36" s="281" t="s">
        <v>174</v>
      </c>
      <c r="AT36" s="298"/>
      <c r="AU36" s="72">
        <f t="shared" si="34"/>
        <v>941</v>
      </c>
      <c r="AV36" s="72">
        <f t="shared" si="34"/>
        <v>94</v>
      </c>
      <c r="AW36" s="72">
        <f>AV36-AU36</f>
        <v>-847</v>
      </c>
      <c r="AX36" s="73">
        <f>AW36/AV36</f>
        <v>-9.01063829787234</v>
      </c>
      <c r="AY36" s="72">
        <f t="shared" si="35"/>
        <v>-66795</v>
      </c>
      <c r="AZ36" s="72">
        <f t="shared" si="35"/>
        <v>454</v>
      </c>
      <c r="BA36" s="87">
        <f>AZ36-AY36</f>
        <v>67249</v>
      </c>
      <c r="BB36" s="73">
        <f>BA36/AZ36</f>
        <v>148.12555066079295</v>
      </c>
      <c r="BD36" s="281" t="s">
        <v>174</v>
      </c>
      <c r="BE36" s="298"/>
      <c r="BF36" s="72">
        <f t="shared" si="36"/>
        <v>-21763</v>
      </c>
      <c r="BG36" s="72">
        <f t="shared" si="36"/>
        <v>5687</v>
      </c>
      <c r="BH36" s="72">
        <f>BG36-BF36</f>
        <v>27450</v>
      </c>
      <c r="BI36" s="73">
        <f>BH36/BG36</f>
        <v>4.826797960260243</v>
      </c>
      <c r="BJ36" s="72">
        <f t="shared" si="37"/>
        <v>-88558</v>
      </c>
      <c r="BK36" s="72">
        <f t="shared" si="37"/>
        <v>6141</v>
      </c>
      <c r="BL36" s="87">
        <f>BK36-BJ36</f>
        <v>94699</v>
      </c>
      <c r="BM36" s="73">
        <f>BL36/BK36</f>
        <v>15.420778374857514</v>
      </c>
      <c r="BO36" s="281" t="s">
        <v>174</v>
      </c>
      <c r="BP36" s="298"/>
      <c r="BQ36" s="72">
        <f t="shared" si="38"/>
        <v>-682</v>
      </c>
      <c r="BR36" s="72">
        <f t="shared" si="38"/>
        <v>-40</v>
      </c>
      <c r="BS36" s="72">
        <f>BR36-BQ36</f>
        <v>642</v>
      </c>
      <c r="BT36" s="73">
        <f>BS36/BR36</f>
        <v>-16.05</v>
      </c>
      <c r="BU36" s="72">
        <f t="shared" si="39"/>
        <v>-89240</v>
      </c>
      <c r="BV36" s="72">
        <f t="shared" si="39"/>
        <v>6101</v>
      </c>
      <c r="BW36" s="87">
        <f>BV36-BU36</f>
        <v>95341</v>
      </c>
      <c r="BX36" s="73">
        <f>BW36/BV36</f>
        <v>15.627110309785282</v>
      </c>
      <c r="BZ36" s="281" t="s">
        <v>174</v>
      </c>
      <c r="CA36" s="298"/>
      <c r="CB36" s="72">
        <f t="shared" si="40"/>
        <v>3000</v>
      </c>
      <c r="CC36" s="72">
        <f t="shared" si="40"/>
        <v>140</v>
      </c>
      <c r="CD36" s="72">
        <f>CC36-CB36</f>
        <v>-2860</v>
      </c>
      <c r="CE36" s="73">
        <f>CD36/CC36</f>
        <v>-20.428571428571427</v>
      </c>
      <c r="CF36" s="72">
        <f t="shared" si="41"/>
        <v>-86240</v>
      </c>
      <c r="CG36" s="72">
        <f t="shared" si="41"/>
        <v>6241</v>
      </c>
      <c r="CH36" s="87">
        <f>CG36-CF36</f>
        <v>92481</v>
      </c>
      <c r="CI36" s="73">
        <f>CH36/CG36</f>
        <v>14.818298349623458</v>
      </c>
      <c r="CK36" s="281" t="s">
        <v>174</v>
      </c>
      <c r="CL36" s="298"/>
      <c r="CM36" s="72">
        <f>SUM(CM16-CM26)</f>
        <v>2000</v>
      </c>
      <c r="CN36" s="72">
        <v>990</v>
      </c>
      <c r="CO36" s="72">
        <f>CN36-CM36</f>
        <v>-1010</v>
      </c>
      <c r="CP36" s="73">
        <f>CO36/CN36</f>
        <v>-1.02020202020202</v>
      </c>
      <c r="CQ36" s="72">
        <f t="shared" si="42"/>
        <v>-84240</v>
      </c>
      <c r="CR36" s="72">
        <f t="shared" si="42"/>
        <v>7231</v>
      </c>
      <c r="CS36" s="87">
        <f>CR36-CQ36</f>
        <v>91471</v>
      </c>
      <c r="CT36" s="73">
        <f>CS36/CR36</f>
        <v>12.649840962522473</v>
      </c>
      <c r="CV36" s="281" t="s">
        <v>174</v>
      </c>
      <c r="CW36" s="298"/>
      <c r="CX36" s="72">
        <f t="shared" si="43"/>
        <v>-3367</v>
      </c>
      <c r="CY36" s="72">
        <f t="shared" si="43"/>
        <v>3468</v>
      </c>
      <c r="CZ36" s="72">
        <f>CY36-CX36</f>
        <v>6835</v>
      </c>
      <c r="DA36" s="73">
        <f>CZ36/CY36</f>
        <v>1.9708765859284891</v>
      </c>
      <c r="DB36" s="72">
        <f t="shared" si="44"/>
        <v>-87607</v>
      </c>
      <c r="DC36" s="72">
        <f t="shared" si="44"/>
        <v>10699</v>
      </c>
      <c r="DD36" s="87">
        <f>DC36-DB36</f>
        <v>98306</v>
      </c>
      <c r="DE36" s="73">
        <f>DD36/DC36</f>
        <v>9.188335358444714</v>
      </c>
      <c r="DG36" s="281" t="s">
        <v>174</v>
      </c>
      <c r="DH36" s="298"/>
      <c r="DI36" s="72">
        <f t="shared" si="45"/>
        <v>-384</v>
      </c>
      <c r="DJ36" s="72">
        <f t="shared" si="45"/>
        <v>298</v>
      </c>
      <c r="DK36" s="72">
        <f>DJ36-DI36</f>
        <v>682</v>
      </c>
      <c r="DL36" s="73">
        <f>DK36/DJ36</f>
        <v>2.2885906040268456</v>
      </c>
      <c r="DM36" s="72">
        <f t="shared" si="46"/>
        <v>-87991</v>
      </c>
      <c r="DN36" s="72">
        <f t="shared" si="46"/>
        <v>10997</v>
      </c>
      <c r="DO36" s="87">
        <f>DN36-DM36</f>
        <v>98988</v>
      </c>
      <c r="DP36" s="73">
        <f>DO36/DN36</f>
        <v>9.001364008365918</v>
      </c>
      <c r="DR36" s="281" t="s">
        <v>174</v>
      </c>
      <c r="DS36" s="298"/>
      <c r="DT36" s="72">
        <f t="shared" si="47"/>
        <v>-12610</v>
      </c>
      <c r="DU36" s="72">
        <f t="shared" si="47"/>
        <v>12004</v>
      </c>
      <c r="DV36" s="72">
        <f>DU36-DT36</f>
        <v>24614</v>
      </c>
      <c r="DW36" s="73">
        <f>DV36/DU36</f>
        <v>2.050483172275908</v>
      </c>
      <c r="DX36" s="72">
        <f t="shared" si="48"/>
        <v>-100601</v>
      </c>
      <c r="DY36" s="72">
        <f t="shared" si="48"/>
        <v>23001</v>
      </c>
      <c r="DZ36" s="87">
        <f>DY36-DX36</f>
        <v>123602</v>
      </c>
      <c r="EA36" s="73">
        <f>DZ36/DY36</f>
        <v>5.373766357984436</v>
      </c>
      <c r="EC36" s="281" t="s">
        <v>174</v>
      </c>
      <c r="ED36" s="298"/>
      <c r="EE36" s="72">
        <f t="shared" si="49"/>
        <v>0</v>
      </c>
      <c r="EF36" s="72">
        <f t="shared" si="49"/>
        <v>-11053</v>
      </c>
      <c r="EG36" s="72">
        <f>EF36-EE36</f>
        <v>-11053</v>
      </c>
      <c r="EH36" s="73">
        <f>EG36/EF36</f>
        <v>1</v>
      </c>
      <c r="EI36" s="72">
        <f t="shared" si="50"/>
        <v>-100601</v>
      </c>
      <c r="EJ36" s="72">
        <f t="shared" si="50"/>
        <v>11948</v>
      </c>
      <c r="EK36" s="87">
        <f>EJ36-EI36</f>
        <v>112549</v>
      </c>
      <c r="EL36" s="73">
        <f>EK36/EJ36</f>
        <v>9.419902912621358</v>
      </c>
    </row>
    <row r="37" spans="1:142" ht="13.5" thickBot="1">
      <c r="A37" s="296" t="s">
        <v>26</v>
      </c>
      <c r="B37" s="297"/>
      <c r="C37" s="80">
        <f>SUM(C33:C36)</f>
        <v>131115</v>
      </c>
      <c r="D37" s="80">
        <f>SUM(D33:D36)</f>
        <v>-160539</v>
      </c>
      <c r="E37" s="80">
        <f>D37-C37</f>
        <v>-291654</v>
      </c>
      <c r="F37" s="108">
        <f>E37/D37</f>
        <v>1.8167174331470857</v>
      </c>
      <c r="G37" s="80">
        <f>SUM(G33:G36)</f>
        <v>131115</v>
      </c>
      <c r="H37" s="80">
        <f>SUM(H33:H36)</f>
        <v>-160539</v>
      </c>
      <c r="I37" s="109">
        <f>H37-G37</f>
        <v>-291654</v>
      </c>
      <c r="J37" s="108">
        <f>I37/H37</f>
        <v>1.8167174331470857</v>
      </c>
      <c r="L37" s="296" t="s">
        <v>26</v>
      </c>
      <c r="M37" s="297"/>
      <c r="N37" s="80">
        <f>SUM(N33:N36)</f>
        <v>-79778</v>
      </c>
      <c r="O37" s="80">
        <f>SUM(O33:O36)</f>
        <v>-69632</v>
      </c>
      <c r="P37" s="80">
        <f>O37-N37</f>
        <v>10146</v>
      </c>
      <c r="Q37" s="108">
        <f>P37/O37</f>
        <v>-0.14570886948529413</v>
      </c>
      <c r="R37" s="80">
        <f>SUM(R33:R36)</f>
        <v>51337</v>
      </c>
      <c r="S37" s="80">
        <f>SUM(S33:S36)</f>
        <v>-230171</v>
      </c>
      <c r="T37" s="109">
        <f>S37-R37</f>
        <v>-281508</v>
      </c>
      <c r="U37" s="108">
        <f>T37/S37</f>
        <v>1.223038523532504</v>
      </c>
      <c r="W37" s="296" t="s">
        <v>26</v>
      </c>
      <c r="X37" s="297"/>
      <c r="Y37" s="80">
        <f>SUM(Y33:Y36)-Y36</f>
        <v>96764</v>
      </c>
      <c r="Z37" s="80">
        <f>SUM(Z33:Z36)-Z36</f>
        <v>-233088</v>
      </c>
      <c r="AA37" s="80">
        <f>Z37-Y37</f>
        <v>-329852</v>
      </c>
      <c r="AB37" s="108">
        <f>AA37/Z37</f>
        <v>1.415139346512905</v>
      </c>
      <c r="AC37" s="80">
        <f>SUM(AC33:AC36)-AC36</f>
        <v>161966</v>
      </c>
      <c r="AD37" s="80">
        <f>SUM(AD33:AD36)-AD36</f>
        <v>-463176</v>
      </c>
      <c r="AE37" s="109">
        <f>AD37-AC37</f>
        <v>-625142</v>
      </c>
      <c r="AF37" s="108">
        <f>AE37/AD37</f>
        <v>1.3496856486519164</v>
      </c>
      <c r="AH37" s="296" t="s">
        <v>26</v>
      </c>
      <c r="AI37" s="297"/>
      <c r="AJ37" s="80">
        <f>SUM(AJ33:AJ36)</f>
        <v>-1000</v>
      </c>
      <c r="AK37" s="80">
        <f>SUM(AK33:AK36)</f>
        <v>18137</v>
      </c>
      <c r="AL37" s="80">
        <f>AK37-AJ37</f>
        <v>19137</v>
      </c>
      <c r="AM37" s="108">
        <f>AL37/AK37</f>
        <v>1.055135910018195</v>
      </c>
      <c r="AN37" s="80">
        <f>SUM(AN33:AN36)</f>
        <v>94977</v>
      </c>
      <c r="AO37" s="80">
        <f>SUM(AO33:AO36)</f>
        <v>-445454</v>
      </c>
      <c r="AP37" s="109">
        <f>AO37-AN37</f>
        <v>-540431</v>
      </c>
      <c r="AQ37" s="108">
        <f>AP37/AO37</f>
        <v>1.213213934547675</v>
      </c>
      <c r="AS37" s="296" t="s">
        <v>26</v>
      </c>
      <c r="AT37" s="297"/>
      <c r="AU37" s="80">
        <f>SUM(AU33:AU36)</f>
        <v>-15703</v>
      </c>
      <c r="AV37" s="80">
        <f>SUM(AV33:AV36)</f>
        <v>-24502</v>
      </c>
      <c r="AW37" s="80">
        <f>AV37-AU37</f>
        <v>-8799</v>
      </c>
      <c r="AX37" s="108">
        <f>AW37/AV37</f>
        <v>0.35911354175169374</v>
      </c>
      <c r="AY37" s="80">
        <f>SUM(AY33:AY36)</f>
        <v>79274</v>
      </c>
      <c r="AZ37" s="80">
        <f>SUM(AZ33:AZ36)</f>
        <v>-469956</v>
      </c>
      <c r="BA37" s="109">
        <f>AZ37-AY37</f>
        <v>-549230</v>
      </c>
      <c r="BB37" s="108">
        <f>BA37/AZ37</f>
        <v>1.1686838767884653</v>
      </c>
      <c r="BD37" s="296" t="s">
        <v>26</v>
      </c>
      <c r="BE37" s="297"/>
      <c r="BF37" s="80">
        <f>SUM(BF33:BF36)-BF36</f>
        <v>-1001</v>
      </c>
      <c r="BG37" s="80">
        <f>SUM(BG33:BG36)-BG36</f>
        <v>23390</v>
      </c>
      <c r="BH37" s="80">
        <f>BG37-BF37</f>
        <v>24391</v>
      </c>
      <c r="BI37" s="108">
        <f>BH37/BG37</f>
        <v>1.0427960666951688</v>
      </c>
      <c r="BJ37" s="80">
        <f>SUM(BJ33:BJ36)-BJ36</f>
        <v>145068</v>
      </c>
      <c r="BK37" s="80">
        <f>SUM(BK33:BK36)-BK36</f>
        <v>-447020</v>
      </c>
      <c r="BL37" s="109">
        <f>BK37-BJ37</f>
        <v>-592088</v>
      </c>
      <c r="BM37" s="108">
        <f>BL37/BK37</f>
        <v>1.3245223927341059</v>
      </c>
      <c r="BO37" s="296" t="s">
        <v>26</v>
      </c>
      <c r="BP37" s="297"/>
      <c r="BQ37" s="80">
        <f>SUM(BQ33:BQ36)</f>
        <v>24196</v>
      </c>
      <c r="BR37" s="80">
        <f>SUM(BR33:BR36)</f>
        <v>-48767</v>
      </c>
      <c r="BS37" s="80">
        <f>BR37-BQ37</f>
        <v>-72963</v>
      </c>
      <c r="BT37" s="108">
        <f>BS37/BR37</f>
        <v>1.4961551869091805</v>
      </c>
      <c r="BU37" s="80">
        <f>SUM(BU33:BU36)</f>
        <v>80706</v>
      </c>
      <c r="BV37" s="80">
        <f>SUM(BV33:BV36)</f>
        <v>-489646</v>
      </c>
      <c r="BW37" s="109">
        <f>BV37-BU37</f>
        <v>-570352</v>
      </c>
      <c r="BX37" s="108">
        <f>BW37/BV37</f>
        <v>1.1648252002467088</v>
      </c>
      <c r="BZ37" s="296" t="s">
        <v>26</v>
      </c>
      <c r="CA37" s="297"/>
      <c r="CB37" s="80">
        <f>SUM(CB33:CB36)-CB36</f>
        <v>585835</v>
      </c>
      <c r="CC37" s="80">
        <f>SUM(CC33:CC36)-CC36</f>
        <v>60643</v>
      </c>
      <c r="CD37" s="80">
        <f>CC37-CB37</f>
        <v>-525192</v>
      </c>
      <c r="CE37" s="108">
        <f>CD37/CC37</f>
        <v>-8.660389492604258</v>
      </c>
      <c r="CF37" s="80">
        <f>SUM(CF33:CF36)-CF36</f>
        <v>755781</v>
      </c>
      <c r="CG37" s="80">
        <f>SUM(CG33:CG36)-CG36</f>
        <v>-435104</v>
      </c>
      <c r="CH37" s="109">
        <f>CG37-CF37</f>
        <v>-1190885</v>
      </c>
      <c r="CI37" s="108">
        <f>CH37/CG37</f>
        <v>2.7370123005074647</v>
      </c>
      <c r="CK37" s="296" t="s">
        <v>26</v>
      </c>
      <c r="CL37" s="297"/>
      <c r="CM37" s="80">
        <f>SUM(CM33:CM36)-CM36</f>
        <v>602096</v>
      </c>
      <c r="CN37" s="80">
        <f>SUM(CN33:CN36)-CN36</f>
        <v>577789</v>
      </c>
      <c r="CO37" s="80">
        <f>CN37-CM37</f>
        <v>-24307</v>
      </c>
      <c r="CP37" s="108">
        <f>CO37/CN37</f>
        <v>-0.04206899058306752</v>
      </c>
      <c r="CQ37" s="80">
        <f>SUM(CQ33:CQ36)-CQ36</f>
        <v>1357877</v>
      </c>
      <c r="CR37" s="80">
        <f>SUM(CR33:CR36)-CR36</f>
        <v>142685</v>
      </c>
      <c r="CS37" s="109">
        <f>CR37-CQ37</f>
        <v>-1215192</v>
      </c>
      <c r="CT37" s="108">
        <f>CS37/CR37</f>
        <v>-8.51660651084557</v>
      </c>
      <c r="CV37" s="296" t="s">
        <v>26</v>
      </c>
      <c r="CW37" s="297"/>
      <c r="CX37" s="80">
        <f>SUM(CX33:CX36)</f>
        <v>55077</v>
      </c>
      <c r="CY37" s="80">
        <f>SUM(CY33:CY36)</f>
        <v>-95095</v>
      </c>
      <c r="CZ37" s="80">
        <f>CY37-CX37</f>
        <v>-150172</v>
      </c>
      <c r="DA37" s="108">
        <f>CZ37/CY37</f>
        <v>1.5791787160208213</v>
      </c>
      <c r="DB37" s="80">
        <f>SUM(DB33:DB36)</f>
        <v>1328714</v>
      </c>
      <c r="DC37" s="80">
        <f>SUM(DC33:DC36)</f>
        <v>54821</v>
      </c>
      <c r="DD37" s="109">
        <f>DC37-DB37</f>
        <v>-1273893</v>
      </c>
      <c r="DE37" s="108">
        <f>DD37/DC37</f>
        <v>-23.237317816165337</v>
      </c>
      <c r="DG37" s="296" t="s">
        <v>26</v>
      </c>
      <c r="DH37" s="297"/>
      <c r="DI37" s="80">
        <f>SUM(DI33:DI36)</f>
        <v>26537</v>
      </c>
      <c r="DJ37" s="80">
        <f>SUM(DJ33:DJ36)</f>
        <v>-89188</v>
      </c>
      <c r="DK37" s="80">
        <f>DJ37-DI37</f>
        <v>-115725</v>
      </c>
      <c r="DL37" s="108">
        <f>DK37/DJ37</f>
        <v>1.2975400278064313</v>
      </c>
      <c r="DM37" s="80">
        <f>SUM(DM33:DM36)</f>
        <v>1355251</v>
      </c>
      <c r="DN37" s="80">
        <f>SUM(DN33:DN36)</f>
        <v>-34367</v>
      </c>
      <c r="DO37" s="109">
        <f>DN37-DM37</f>
        <v>-1389618</v>
      </c>
      <c r="DP37" s="108">
        <f>DO37/DN37</f>
        <v>40.434661157505744</v>
      </c>
      <c r="DR37" s="296" t="s">
        <v>26</v>
      </c>
      <c r="DS37" s="297"/>
      <c r="DT37" s="80">
        <f>SUM(DT33:DT36)</f>
        <v>-5688</v>
      </c>
      <c r="DU37" s="80">
        <f>SUM(DU33:DU36)</f>
        <v>-191200</v>
      </c>
      <c r="DV37" s="80">
        <f>DU37-DT37</f>
        <v>-185512</v>
      </c>
      <c r="DW37" s="108">
        <f>DV37/DU37</f>
        <v>0.9702510460251046</v>
      </c>
      <c r="DX37" s="80">
        <f>SUM(DX33:DX36)</f>
        <v>1349563</v>
      </c>
      <c r="DY37" s="80">
        <f>SUM(DY33:DY36)</f>
        <v>-225567</v>
      </c>
      <c r="DZ37" s="109">
        <f>DY37-DX37</f>
        <v>-1575130</v>
      </c>
      <c r="EA37" s="108">
        <f>DZ37/DY37</f>
        <v>6.982980666498202</v>
      </c>
      <c r="EC37" s="296" t="s">
        <v>26</v>
      </c>
      <c r="ED37" s="297"/>
      <c r="EE37" s="80">
        <f>SUM(EE33:EE36)</f>
        <v>474088</v>
      </c>
      <c r="EF37" s="80">
        <f>SUM(EF33:EF36)</f>
        <v>530938</v>
      </c>
      <c r="EG37" s="80">
        <f>EF37-EE37</f>
        <v>56850</v>
      </c>
      <c r="EH37" s="108">
        <f>EG37/EF37</f>
        <v>0.1070746490173994</v>
      </c>
      <c r="EI37" s="80">
        <f>SUM(EI33:EI36)</f>
        <v>1823651</v>
      </c>
      <c r="EJ37" s="80">
        <f>SUM(EJ33:EJ36)</f>
        <v>305371</v>
      </c>
      <c r="EK37" s="109">
        <f>EJ37-EI37</f>
        <v>-1518280</v>
      </c>
      <c r="EL37" s="108">
        <f>EK37/EJ37</f>
        <v>-4.9719194029557485</v>
      </c>
    </row>
    <row r="39" ht="13.5" thickBot="1"/>
    <row r="40" spans="1:142" ht="13.5" thickBot="1">
      <c r="A40" s="493" t="s">
        <v>200</v>
      </c>
      <c r="B40" s="494"/>
      <c r="C40" s="270" t="s">
        <v>197</v>
      </c>
      <c r="D40" s="307"/>
      <c r="E40" s="308"/>
      <c r="F40" s="309"/>
      <c r="G40" s="303" t="s">
        <v>2</v>
      </c>
      <c r="H40" s="307"/>
      <c r="I40" s="308"/>
      <c r="J40" s="309"/>
      <c r="L40" s="493" t="s">
        <v>202</v>
      </c>
      <c r="M40" s="494"/>
      <c r="N40" s="270" t="s">
        <v>197</v>
      </c>
      <c r="O40" s="307"/>
      <c r="P40" s="308"/>
      <c r="Q40" s="309"/>
      <c r="R40" s="303" t="s">
        <v>2</v>
      </c>
      <c r="S40" s="307"/>
      <c r="T40" s="308"/>
      <c r="U40" s="309"/>
      <c r="W40" s="493" t="s">
        <v>223</v>
      </c>
      <c r="X40" s="494"/>
      <c r="Y40" s="375" t="s">
        <v>197</v>
      </c>
      <c r="Z40" s="307"/>
      <c r="AA40" s="308"/>
      <c r="AB40" s="309"/>
      <c r="AC40" s="303" t="s">
        <v>2</v>
      </c>
      <c r="AD40" s="307"/>
      <c r="AE40" s="308"/>
      <c r="AF40" s="309"/>
      <c r="AH40" s="493" t="s">
        <v>200</v>
      </c>
      <c r="AI40" s="494"/>
      <c r="AJ40" s="270" t="s">
        <v>197</v>
      </c>
      <c r="AK40" s="307"/>
      <c r="AL40" s="308"/>
      <c r="AM40" s="309"/>
      <c r="AN40" s="303" t="s">
        <v>2</v>
      </c>
      <c r="AO40" s="307"/>
      <c r="AP40" s="308"/>
      <c r="AQ40" s="309"/>
      <c r="AS40" s="493" t="s">
        <v>200</v>
      </c>
      <c r="AT40" s="494"/>
      <c r="AU40" s="270" t="s">
        <v>197</v>
      </c>
      <c r="AV40" s="307"/>
      <c r="AW40" s="308"/>
      <c r="AX40" s="309"/>
      <c r="AY40" s="303" t="s">
        <v>2</v>
      </c>
      <c r="AZ40" s="307"/>
      <c r="BA40" s="308"/>
      <c r="BB40" s="309"/>
      <c r="BD40" s="493" t="s">
        <v>200</v>
      </c>
      <c r="BE40" s="494"/>
      <c r="BF40" s="270" t="s">
        <v>197</v>
      </c>
      <c r="BG40" s="307"/>
      <c r="BH40" s="308"/>
      <c r="BI40" s="309"/>
      <c r="BJ40" s="303" t="s">
        <v>2</v>
      </c>
      <c r="BK40" s="307"/>
      <c r="BL40" s="308"/>
      <c r="BM40" s="309"/>
      <c r="BO40" s="493" t="s">
        <v>243</v>
      </c>
      <c r="BP40" s="494"/>
      <c r="BQ40" s="270" t="s">
        <v>197</v>
      </c>
      <c r="BR40" s="307"/>
      <c r="BS40" s="308"/>
      <c r="BT40" s="309"/>
      <c r="BU40" s="303" t="s">
        <v>2</v>
      </c>
      <c r="BV40" s="307"/>
      <c r="BW40" s="308"/>
      <c r="BX40" s="309"/>
      <c r="BZ40" s="493" t="s">
        <v>243</v>
      </c>
      <c r="CA40" s="494"/>
      <c r="CB40" s="270" t="s">
        <v>197</v>
      </c>
      <c r="CC40" s="307"/>
      <c r="CD40" s="308"/>
      <c r="CE40" s="309"/>
      <c r="CF40" s="303" t="s">
        <v>2</v>
      </c>
      <c r="CG40" s="307"/>
      <c r="CH40" s="308"/>
      <c r="CI40" s="309"/>
      <c r="CK40" s="493" t="s">
        <v>243</v>
      </c>
      <c r="CL40" s="494"/>
      <c r="CM40" s="375" t="s">
        <v>197</v>
      </c>
      <c r="CN40" s="307"/>
      <c r="CO40" s="308"/>
      <c r="CP40" s="309"/>
      <c r="CQ40" s="303" t="s">
        <v>2</v>
      </c>
      <c r="CR40" s="307"/>
      <c r="CS40" s="308"/>
      <c r="CT40" s="309"/>
      <c r="CV40" s="493" t="s">
        <v>178</v>
      </c>
      <c r="CW40" s="494"/>
      <c r="CX40" s="270" t="s">
        <v>132</v>
      </c>
      <c r="CY40" s="307"/>
      <c r="CZ40" s="308"/>
      <c r="DA40" s="309"/>
      <c r="DB40" s="303" t="s">
        <v>2</v>
      </c>
      <c r="DC40" s="307"/>
      <c r="DD40" s="308"/>
      <c r="DE40" s="309"/>
      <c r="DG40" s="493" t="s">
        <v>178</v>
      </c>
      <c r="DH40" s="494"/>
      <c r="DI40" s="270" t="s">
        <v>132</v>
      </c>
      <c r="DJ40" s="307"/>
      <c r="DK40" s="308"/>
      <c r="DL40" s="309"/>
      <c r="DM40" s="303" t="s">
        <v>2</v>
      </c>
      <c r="DN40" s="307"/>
      <c r="DO40" s="308"/>
      <c r="DP40" s="309"/>
      <c r="DR40" s="493" t="s">
        <v>178</v>
      </c>
      <c r="DS40" s="494"/>
      <c r="DT40" s="270" t="s">
        <v>132</v>
      </c>
      <c r="DU40" s="307"/>
      <c r="DV40" s="308"/>
      <c r="DW40" s="309"/>
      <c r="DX40" s="303" t="s">
        <v>2</v>
      </c>
      <c r="DY40" s="307"/>
      <c r="DZ40" s="308"/>
      <c r="EA40" s="309"/>
      <c r="EC40" s="493" t="s">
        <v>178</v>
      </c>
      <c r="ED40" s="494"/>
      <c r="EE40" s="270" t="s">
        <v>132</v>
      </c>
      <c r="EF40" s="307"/>
      <c r="EG40" s="308"/>
      <c r="EH40" s="309"/>
      <c r="EI40" s="303" t="s">
        <v>2</v>
      </c>
      <c r="EJ40" s="307"/>
      <c r="EK40" s="308"/>
      <c r="EL40" s="309"/>
    </row>
    <row r="41" spans="1:142" ht="12.75">
      <c r="A41" s="89"/>
      <c r="B41" s="89"/>
      <c r="C41" s="273" t="s">
        <v>18</v>
      </c>
      <c r="D41" s="310"/>
      <c r="E41" s="311"/>
      <c r="F41" s="312"/>
      <c r="G41" s="340" t="s">
        <v>197</v>
      </c>
      <c r="H41" s="310"/>
      <c r="I41" s="311"/>
      <c r="J41" s="312"/>
      <c r="L41" s="89"/>
      <c r="M41" s="89"/>
      <c r="N41" s="273" t="s">
        <v>18</v>
      </c>
      <c r="O41" s="310"/>
      <c r="P41" s="311"/>
      <c r="Q41" s="312"/>
      <c r="R41" s="341" t="s">
        <v>201</v>
      </c>
      <c r="S41" s="310"/>
      <c r="T41" s="311"/>
      <c r="U41" s="312"/>
      <c r="W41" s="89"/>
      <c r="X41" s="89"/>
      <c r="Y41" s="273" t="s">
        <v>18</v>
      </c>
      <c r="Z41" s="310"/>
      <c r="AA41" s="311"/>
      <c r="AB41" s="312"/>
      <c r="AC41" s="316" t="s">
        <v>201</v>
      </c>
      <c r="AD41" s="310"/>
      <c r="AE41" s="311"/>
      <c r="AF41" s="312"/>
      <c r="AH41" s="89"/>
      <c r="AI41" s="89"/>
      <c r="AJ41" s="273" t="s">
        <v>18</v>
      </c>
      <c r="AK41" s="310"/>
      <c r="AL41" s="311"/>
      <c r="AM41" s="312"/>
      <c r="AN41" s="316" t="s">
        <v>201</v>
      </c>
      <c r="AO41" s="310"/>
      <c r="AP41" s="311"/>
      <c r="AQ41" s="312"/>
      <c r="AS41" s="89"/>
      <c r="AT41" s="89"/>
      <c r="AU41" s="273" t="s">
        <v>18</v>
      </c>
      <c r="AV41" s="310"/>
      <c r="AW41" s="311"/>
      <c r="AX41" s="312"/>
      <c r="AY41" s="300" t="s">
        <v>201</v>
      </c>
      <c r="AZ41" s="310"/>
      <c r="BA41" s="311"/>
      <c r="BB41" s="312"/>
      <c r="BD41" s="89"/>
      <c r="BE41" s="89"/>
      <c r="BF41" s="273" t="s">
        <v>18</v>
      </c>
      <c r="BG41" s="310"/>
      <c r="BH41" s="311"/>
      <c r="BI41" s="312"/>
      <c r="BJ41" s="316" t="s">
        <v>201</v>
      </c>
      <c r="BK41" s="310"/>
      <c r="BL41" s="311"/>
      <c r="BM41" s="312"/>
      <c r="BO41" s="89"/>
      <c r="BP41" s="89"/>
      <c r="BQ41" s="273" t="s">
        <v>18</v>
      </c>
      <c r="BR41" s="310"/>
      <c r="BS41" s="311"/>
      <c r="BT41" s="312"/>
      <c r="BU41" s="316" t="s">
        <v>201</v>
      </c>
      <c r="BV41" s="310"/>
      <c r="BW41" s="311"/>
      <c r="BX41" s="312"/>
      <c r="BZ41" s="89"/>
      <c r="CA41" s="89"/>
      <c r="CB41" s="273" t="s">
        <v>18</v>
      </c>
      <c r="CC41" s="310"/>
      <c r="CD41" s="311"/>
      <c r="CE41" s="312"/>
      <c r="CF41" s="316" t="s">
        <v>201</v>
      </c>
      <c r="CG41" s="310"/>
      <c r="CH41" s="311"/>
      <c r="CI41" s="312"/>
      <c r="CK41" s="89"/>
      <c r="CL41" s="89"/>
      <c r="CM41" s="273" t="s">
        <v>18</v>
      </c>
      <c r="CN41" s="310"/>
      <c r="CO41" s="311"/>
      <c r="CP41" s="312"/>
      <c r="CQ41" s="316" t="s">
        <v>201</v>
      </c>
      <c r="CR41" s="310"/>
      <c r="CS41" s="311"/>
      <c r="CT41" s="312"/>
      <c r="CV41" s="89"/>
      <c r="CW41" s="89"/>
      <c r="CX41" s="273" t="s">
        <v>18</v>
      </c>
      <c r="CY41" s="310"/>
      <c r="CZ41" s="311"/>
      <c r="DA41" s="312"/>
      <c r="DB41" s="316" t="s">
        <v>67</v>
      </c>
      <c r="DC41" s="310"/>
      <c r="DD41" s="311"/>
      <c r="DE41" s="312"/>
      <c r="DG41" s="89"/>
      <c r="DH41" s="89"/>
      <c r="DI41" s="273" t="s">
        <v>18</v>
      </c>
      <c r="DJ41" s="310"/>
      <c r="DK41" s="311"/>
      <c r="DL41" s="312"/>
      <c r="DM41" s="316" t="s">
        <v>67</v>
      </c>
      <c r="DN41" s="310"/>
      <c r="DO41" s="311"/>
      <c r="DP41" s="312"/>
      <c r="DR41" s="89"/>
      <c r="DS41" s="89"/>
      <c r="DT41" s="273" t="s">
        <v>18</v>
      </c>
      <c r="DU41" s="310"/>
      <c r="DV41" s="311"/>
      <c r="DW41" s="312"/>
      <c r="DX41" s="316" t="s">
        <v>67</v>
      </c>
      <c r="DY41" s="310"/>
      <c r="DZ41" s="311"/>
      <c r="EA41" s="312"/>
      <c r="EC41" s="89"/>
      <c r="ED41" s="89"/>
      <c r="EE41" s="273" t="s">
        <v>18</v>
      </c>
      <c r="EF41" s="310"/>
      <c r="EG41" s="311"/>
      <c r="EH41" s="312"/>
      <c r="EI41" s="316" t="s">
        <v>67</v>
      </c>
      <c r="EJ41" s="310"/>
      <c r="EK41" s="311"/>
      <c r="EL41" s="312"/>
    </row>
    <row r="42" spans="1:142" ht="13.5" thickBot="1">
      <c r="A42" s="115"/>
      <c r="B42" s="290"/>
      <c r="C42" s="237" t="s">
        <v>110</v>
      </c>
      <c r="D42" s="310"/>
      <c r="E42" s="311"/>
      <c r="F42" s="312"/>
      <c r="G42" s="317" t="s">
        <v>18</v>
      </c>
      <c r="H42" s="310"/>
      <c r="I42" s="311"/>
      <c r="J42" s="312"/>
      <c r="L42" s="115"/>
      <c r="M42" s="290"/>
      <c r="N42" s="237" t="s">
        <v>113</v>
      </c>
      <c r="O42" s="310"/>
      <c r="P42" s="311"/>
      <c r="Q42" s="312"/>
      <c r="R42" s="317" t="s">
        <v>18</v>
      </c>
      <c r="S42" s="310"/>
      <c r="T42" s="311"/>
      <c r="U42" s="312"/>
      <c r="W42" s="115"/>
      <c r="X42" s="290"/>
      <c r="Y42" s="237" t="s">
        <v>114</v>
      </c>
      <c r="Z42" s="310"/>
      <c r="AA42" s="311"/>
      <c r="AB42" s="312"/>
      <c r="AC42" s="317" t="s">
        <v>18</v>
      </c>
      <c r="AD42" s="310"/>
      <c r="AE42" s="311"/>
      <c r="AF42" s="312"/>
      <c r="AH42" s="115"/>
      <c r="AI42" s="290"/>
      <c r="AJ42" s="237" t="s">
        <v>115</v>
      </c>
      <c r="AK42" s="310"/>
      <c r="AL42" s="311"/>
      <c r="AM42" s="312"/>
      <c r="AN42" s="317" t="s">
        <v>18</v>
      </c>
      <c r="AO42" s="310"/>
      <c r="AP42" s="311"/>
      <c r="AQ42" s="312"/>
      <c r="AS42" s="115"/>
      <c r="AT42" s="290"/>
      <c r="AU42" s="237" t="s">
        <v>116</v>
      </c>
      <c r="AV42" s="310"/>
      <c r="AW42" s="311"/>
      <c r="AX42" s="312"/>
      <c r="AY42" s="317" t="s">
        <v>18</v>
      </c>
      <c r="AZ42" s="310"/>
      <c r="BA42" s="311"/>
      <c r="BB42" s="312"/>
      <c r="BD42" s="115"/>
      <c r="BE42" s="290"/>
      <c r="BF42" s="237" t="s">
        <v>117</v>
      </c>
      <c r="BG42" s="310"/>
      <c r="BH42" s="311"/>
      <c r="BI42" s="312"/>
      <c r="BJ42" s="317" t="s">
        <v>18</v>
      </c>
      <c r="BK42" s="310"/>
      <c r="BL42" s="311"/>
      <c r="BM42" s="312"/>
      <c r="BO42" s="115"/>
      <c r="BP42" s="290"/>
      <c r="BQ42" s="237" t="s">
        <v>118</v>
      </c>
      <c r="BR42" s="310"/>
      <c r="BS42" s="311"/>
      <c r="BT42" s="312"/>
      <c r="BU42" s="317" t="s">
        <v>18</v>
      </c>
      <c r="BV42" s="310"/>
      <c r="BW42" s="311"/>
      <c r="BX42" s="312"/>
      <c r="BZ42" s="115"/>
      <c r="CA42" s="290"/>
      <c r="CB42" s="237" t="s">
        <v>119</v>
      </c>
      <c r="CC42" s="310"/>
      <c r="CD42" s="311"/>
      <c r="CE42" s="312"/>
      <c r="CF42" s="317" t="s">
        <v>18</v>
      </c>
      <c r="CG42" s="310"/>
      <c r="CH42" s="311"/>
      <c r="CI42" s="312"/>
      <c r="CK42" s="115"/>
      <c r="CL42" s="290"/>
      <c r="CM42" s="237" t="s">
        <v>120</v>
      </c>
      <c r="CN42" s="310"/>
      <c r="CO42" s="311"/>
      <c r="CP42" s="312"/>
      <c r="CQ42" s="317" t="s">
        <v>18</v>
      </c>
      <c r="CR42" s="310"/>
      <c r="CS42" s="311"/>
      <c r="CT42" s="312"/>
      <c r="CV42" s="115"/>
      <c r="CW42" s="290"/>
      <c r="CX42" s="237" t="s">
        <v>121</v>
      </c>
      <c r="CY42" s="310"/>
      <c r="CZ42" s="311"/>
      <c r="DA42" s="312"/>
      <c r="DB42" s="317" t="s">
        <v>18</v>
      </c>
      <c r="DC42" s="310"/>
      <c r="DD42" s="311"/>
      <c r="DE42" s="312"/>
      <c r="DG42" s="115"/>
      <c r="DH42" s="290"/>
      <c r="DI42" s="237" t="s">
        <v>122</v>
      </c>
      <c r="DJ42" s="310"/>
      <c r="DK42" s="311"/>
      <c r="DL42" s="312"/>
      <c r="DM42" s="317" t="s">
        <v>18</v>
      </c>
      <c r="DN42" s="310"/>
      <c r="DO42" s="311"/>
      <c r="DP42" s="312"/>
      <c r="DR42" s="115"/>
      <c r="DS42" s="290"/>
      <c r="DT42" s="237" t="s">
        <v>123</v>
      </c>
      <c r="DU42" s="310"/>
      <c r="DV42" s="311"/>
      <c r="DW42" s="312"/>
      <c r="DX42" s="317" t="s">
        <v>18</v>
      </c>
      <c r="DY42" s="310"/>
      <c r="DZ42" s="311"/>
      <c r="EA42" s="312"/>
      <c r="EC42" s="115"/>
      <c r="ED42" s="290"/>
      <c r="EE42" s="237" t="s">
        <v>1</v>
      </c>
      <c r="EF42" s="310"/>
      <c r="EG42" s="311"/>
      <c r="EH42" s="312"/>
      <c r="EI42" s="317" t="s">
        <v>18</v>
      </c>
      <c r="EJ42" s="310"/>
      <c r="EK42" s="311"/>
      <c r="EL42" s="312"/>
    </row>
    <row r="43" spans="1:142" ht="13.5" thickBot="1">
      <c r="A43" s="294" t="s">
        <v>175</v>
      </c>
      <c r="B43" s="318">
        <v>2900</v>
      </c>
      <c r="C43" s="319">
        <f>SUM(C33/C13)</f>
        <v>0.17349502193635888</v>
      </c>
      <c r="D43" s="310"/>
      <c r="E43" s="311"/>
      <c r="F43" s="312"/>
      <c r="G43" s="319">
        <f>SUM(G33/G13)</f>
        <v>0.17349502193635888</v>
      </c>
      <c r="H43" s="310"/>
      <c r="I43" s="311"/>
      <c r="J43" s="312"/>
      <c r="L43" s="294" t="s">
        <v>175</v>
      </c>
      <c r="M43" s="318">
        <v>2900</v>
      </c>
      <c r="N43" s="319">
        <f>SUM(N33/N13)</f>
        <v>-0.16278346936633648</v>
      </c>
      <c r="O43" s="310"/>
      <c r="P43" s="311"/>
      <c r="Q43" s="312"/>
      <c r="R43" s="319">
        <f>SUM(R33/R13)</f>
        <v>0.04272245785992133</v>
      </c>
      <c r="S43" s="310"/>
      <c r="T43" s="311"/>
      <c r="U43" s="312"/>
      <c r="W43" s="294" t="s">
        <v>175</v>
      </c>
      <c r="X43" s="318">
        <v>2900</v>
      </c>
      <c r="Y43" s="319">
        <f>SUM(Y33/Y13)</f>
        <v>0.16071815533279293</v>
      </c>
      <c r="Z43" s="310"/>
      <c r="AA43" s="311"/>
      <c r="AB43" s="312"/>
      <c r="AC43" s="319">
        <f>SUM(AC33/AC13)</f>
        <v>0.08147146993599073</v>
      </c>
      <c r="AD43" s="310"/>
      <c r="AE43" s="311"/>
      <c r="AF43" s="312"/>
      <c r="AH43" s="294" t="s">
        <v>175</v>
      </c>
      <c r="AI43" s="318">
        <v>2900</v>
      </c>
      <c r="AJ43" s="319">
        <f>SUM(AJ33/AJ13)</f>
        <v>-0.002907186971174012</v>
      </c>
      <c r="AK43" s="310"/>
      <c r="AL43" s="311"/>
      <c r="AM43" s="312"/>
      <c r="AN43" s="319">
        <f>SUM(AN33/AN13)</f>
        <v>0.06432057897340744</v>
      </c>
      <c r="AO43" s="310"/>
      <c r="AP43" s="311"/>
      <c r="AQ43" s="312"/>
      <c r="AS43" s="294" t="s">
        <v>175</v>
      </c>
      <c r="AT43" s="318">
        <v>2900</v>
      </c>
      <c r="AU43" s="319">
        <f>SUM(AU33/AU13)</f>
        <v>-0.021473635355291416</v>
      </c>
      <c r="AV43" s="310"/>
      <c r="AW43" s="311"/>
      <c r="AX43" s="312"/>
      <c r="AY43" s="319">
        <f>SUM(AY33/AY13)</f>
        <v>0.04922295213817076</v>
      </c>
      <c r="AZ43" s="310"/>
      <c r="BA43" s="311"/>
      <c r="BB43" s="312"/>
      <c r="BD43" s="294" t="s">
        <v>175</v>
      </c>
      <c r="BE43" s="318">
        <v>2900</v>
      </c>
      <c r="BF43" s="319">
        <f>SUM(BF33/BF13)</f>
        <v>-0.014407471495588116</v>
      </c>
      <c r="BG43" s="310"/>
      <c r="BH43" s="311"/>
      <c r="BI43" s="312"/>
      <c r="BJ43" s="319">
        <f>SUM(BJ33/BJ13)</f>
        <v>0.039644844470994416</v>
      </c>
      <c r="BK43" s="310"/>
      <c r="BL43" s="311"/>
      <c r="BM43" s="312"/>
      <c r="BO43" s="294" t="s">
        <v>175</v>
      </c>
      <c r="BP43" s="318">
        <v>2900</v>
      </c>
      <c r="BQ43" s="319">
        <f>SUM(BQ33/BQ13)</f>
        <v>0.0419516993822014</v>
      </c>
      <c r="BR43" s="310"/>
      <c r="BS43" s="311"/>
      <c r="BT43" s="312"/>
      <c r="BU43" s="319">
        <f>SUM(BU33/BU13)</f>
        <v>0.039977579186078166</v>
      </c>
      <c r="BV43" s="310"/>
      <c r="BW43" s="311"/>
      <c r="BX43" s="312"/>
      <c r="BZ43" s="294" t="s">
        <v>175</v>
      </c>
      <c r="CA43" s="318">
        <v>2900</v>
      </c>
      <c r="CB43" s="319">
        <f>SUM(CB33/CB13)</f>
        <v>1</v>
      </c>
      <c r="CC43" s="310"/>
      <c r="CD43" s="311"/>
      <c r="CE43" s="312"/>
      <c r="CF43" s="319">
        <f>SUM(CF33/CF13)</f>
        <v>0.15994566904346255</v>
      </c>
      <c r="CG43" s="310"/>
      <c r="CH43" s="311"/>
      <c r="CI43" s="312"/>
      <c r="CK43" s="294" t="s">
        <v>175</v>
      </c>
      <c r="CL43" s="318">
        <v>2900</v>
      </c>
      <c r="CM43" s="319">
        <f>SUM(CM33/CM13)</f>
        <v>1</v>
      </c>
      <c r="CN43" s="310"/>
      <c r="CO43" s="311"/>
      <c r="CP43" s="312"/>
      <c r="CQ43" s="319">
        <f>SUM(CQ33/CQ13)</f>
        <v>0.25592708343895243</v>
      </c>
      <c r="CR43" s="310"/>
      <c r="CS43" s="311"/>
      <c r="CT43" s="312"/>
      <c r="CV43" s="294" t="s">
        <v>175</v>
      </c>
      <c r="CW43" s="318">
        <v>2900</v>
      </c>
      <c r="CX43" s="319">
        <f>SUM(CX33/CX13)</f>
        <v>0.11639070678519804</v>
      </c>
      <c r="CY43" s="310"/>
      <c r="CZ43" s="311"/>
      <c r="DA43" s="312"/>
      <c r="DB43" s="319">
        <f>SUM(DB33/DB13)</f>
        <v>0.24431367522696765</v>
      </c>
      <c r="DC43" s="310"/>
      <c r="DD43" s="311"/>
      <c r="DE43" s="312"/>
      <c r="DG43" s="294" t="s">
        <v>175</v>
      </c>
      <c r="DH43" s="318">
        <v>2900</v>
      </c>
      <c r="DI43" s="319">
        <f>SUM(DI33/DI13)</f>
        <v>0.03314459409394955</v>
      </c>
      <c r="DJ43" s="310"/>
      <c r="DK43" s="311"/>
      <c r="DL43" s="312"/>
      <c r="DM43" s="319">
        <f>SUM(DM33/DM13)</f>
        <v>0.22125869132524406</v>
      </c>
      <c r="DN43" s="310"/>
      <c r="DO43" s="311"/>
      <c r="DP43" s="312"/>
      <c r="DR43" s="294" t="s">
        <v>175</v>
      </c>
      <c r="DS43" s="318">
        <v>2900</v>
      </c>
      <c r="DT43" s="319">
        <f>SUM(DT33/DT13)</f>
        <v>0.0545425763092377</v>
      </c>
      <c r="DU43" s="310"/>
      <c r="DV43" s="311"/>
      <c r="DW43" s="312"/>
      <c r="DX43" s="319">
        <f>SUM(DX33/DX13)</f>
        <v>0.20770068130312921</v>
      </c>
      <c r="DY43" s="310"/>
      <c r="DZ43" s="311"/>
      <c r="EA43" s="312"/>
      <c r="EC43" s="294" t="s">
        <v>175</v>
      </c>
      <c r="ED43" s="318">
        <v>2900</v>
      </c>
      <c r="EE43" s="319">
        <f>SUM(EE33/EE13)</f>
        <v>1</v>
      </c>
      <c r="EF43" s="310"/>
      <c r="EG43" s="311"/>
      <c r="EH43" s="312"/>
      <c r="EI43" s="319">
        <f>SUM(EI33/EI13)</f>
        <v>0.25761320877569344</v>
      </c>
      <c r="EJ43" s="310"/>
      <c r="EK43" s="311"/>
      <c r="EL43" s="312"/>
    </row>
    <row r="44" spans="1:142" ht="13.5" thickBot="1">
      <c r="A44" s="281" t="s">
        <v>172</v>
      </c>
      <c r="B44" s="298"/>
      <c r="C44" s="320">
        <f>SUM(C34/C14)</f>
        <v>0.5807178878671018</v>
      </c>
      <c r="D44" s="310"/>
      <c r="E44" s="311"/>
      <c r="F44" s="312"/>
      <c r="G44" s="320">
        <f>SUM(G34/G14)</f>
        <v>0.5807178878671018</v>
      </c>
      <c r="H44" s="310"/>
      <c r="I44" s="311"/>
      <c r="J44" s="312"/>
      <c r="L44" s="281" t="s">
        <v>172</v>
      </c>
      <c r="M44" s="298"/>
      <c r="N44" s="320">
        <f>SUM(N34/N14)</f>
        <v>0.06605331446095777</v>
      </c>
      <c r="O44" s="310"/>
      <c r="P44" s="311"/>
      <c r="Q44" s="312"/>
      <c r="R44" s="320">
        <f>SUM(R34/R14)</f>
        <v>0.32261689982550057</v>
      </c>
      <c r="S44" s="310"/>
      <c r="T44" s="311"/>
      <c r="U44" s="312"/>
      <c r="W44" s="281" t="s">
        <v>172</v>
      </c>
      <c r="X44" s="298"/>
      <c r="Y44" s="320">
        <f>SUM(Y34/Y14)</f>
        <v>-0.11376439922643572</v>
      </c>
      <c r="Z44" s="310"/>
      <c r="AA44" s="311"/>
      <c r="AB44" s="312"/>
      <c r="AC44" s="320">
        <f>SUM(AC34/AC14)</f>
        <v>0.20906266409942237</v>
      </c>
      <c r="AD44" s="310"/>
      <c r="AE44" s="311"/>
      <c r="AF44" s="312"/>
      <c r="AH44" s="281" t="s">
        <v>172</v>
      </c>
      <c r="AI44" s="298"/>
      <c r="AJ44" s="320">
        <f>SUM(AJ34/AJ14)</f>
        <v>0.20988524905442657</v>
      </c>
      <c r="AK44" s="310"/>
      <c r="AL44" s="311"/>
      <c r="AM44" s="312"/>
      <c r="AN44" s="320">
        <f>SUM(AN34/AN14)</f>
        <v>0.20927197690161983</v>
      </c>
      <c r="AO44" s="310"/>
      <c r="AP44" s="311"/>
      <c r="AQ44" s="312"/>
      <c r="AS44" s="281" t="s">
        <v>172</v>
      </c>
      <c r="AT44" s="298"/>
      <c r="AU44" s="320">
        <f>SUM(AU34/AU14)</f>
        <v>-0.23591087811271297</v>
      </c>
      <c r="AV44" s="310"/>
      <c r="AW44" s="311"/>
      <c r="AX44" s="312"/>
      <c r="AY44" s="320">
        <f>SUM(AY34/AY14)</f>
        <v>0.11357553560680762</v>
      </c>
      <c r="AZ44" s="310"/>
      <c r="BA44" s="311"/>
      <c r="BB44" s="312"/>
      <c r="BD44" s="281" t="s">
        <v>172</v>
      </c>
      <c r="BE44" s="298"/>
      <c r="BF44" s="320">
        <f>SUM(BF34/BF14)</f>
        <v>0.28562145557655955</v>
      </c>
      <c r="BG44" s="310"/>
      <c r="BH44" s="311"/>
      <c r="BI44" s="312"/>
      <c r="BJ44" s="320">
        <f>SUM(BJ34/BJ14)</f>
        <v>0.14422682256859298</v>
      </c>
      <c r="BK44" s="310"/>
      <c r="BL44" s="311"/>
      <c r="BM44" s="312"/>
      <c r="BO44" s="281" t="s">
        <v>172</v>
      </c>
      <c r="BP44" s="298"/>
      <c r="BQ44" s="320">
        <f>SUM(BQ34/BQ14)</f>
        <v>0.18101187721733766</v>
      </c>
      <c r="BR44" s="310"/>
      <c r="BS44" s="311"/>
      <c r="BT44" s="312"/>
      <c r="BU44" s="320">
        <f>SUM(BU34/BU14)</f>
        <v>0.1486437680005186</v>
      </c>
      <c r="BV44" s="310"/>
      <c r="BW44" s="311"/>
      <c r="BX44" s="312"/>
      <c r="BZ44" s="281" t="s">
        <v>172</v>
      </c>
      <c r="CA44" s="298"/>
      <c r="CB44" s="320">
        <f>SUM(CB34/CB14)</f>
        <v>1</v>
      </c>
      <c r="CC44" s="310"/>
      <c r="CD44" s="311"/>
      <c r="CE44" s="312"/>
      <c r="CF44" s="320">
        <f>SUM(CF34/CF14)</f>
        <v>0.25346542693572616</v>
      </c>
      <c r="CG44" s="310"/>
      <c r="CH44" s="311"/>
      <c r="CI44" s="312"/>
      <c r="CK44" s="281" t="s">
        <v>172</v>
      </c>
      <c r="CL44" s="298"/>
      <c r="CM44" s="320">
        <f>SUM(CM34/CM14)</f>
        <v>1</v>
      </c>
      <c r="CN44" s="310"/>
      <c r="CO44" s="311"/>
      <c r="CP44" s="312"/>
      <c r="CQ44" s="320">
        <f>SUM(CQ34/CQ14)</f>
        <v>0.3246104454256265</v>
      </c>
      <c r="CR44" s="310"/>
      <c r="CS44" s="311"/>
      <c r="CT44" s="312"/>
      <c r="CV44" s="281" t="s">
        <v>172</v>
      </c>
      <c r="CW44" s="298"/>
      <c r="CX44" s="320">
        <f>SUM(CX34/CX14)</f>
        <v>0.3279129149307889</v>
      </c>
      <c r="CY44" s="310"/>
      <c r="CZ44" s="311"/>
      <c r="DA44" s="312"/>
      <c r="DB44" s="320">
        <f>SUM(DB34/DB14)</f>
        <v>0.3249359267279916</v>
      </c>
      <c r="DC44" s="310"/>
      <c r="DD44" s="311"/>
      <c r="DE44" s="312"/>
      <c r="DG44" s="281" t="s">
        <v>172</v>
      </c>
      <c r="DH44" s="298"/>
      <c r="DI44" s="320">
        <f>SUM(DI34/DI14)</f>
        <v>0.2741511669843887</v>
      </c>
      <c r="DJ44" s="310"/>
      <c r="DK44" s="311"/>
      <c r="DL44" s="312"/>
      <c r="DM44" s="320">
        <f>SUM(DM34/DM14)</f>
        <v>0.3191516830195765</v>
      </c>
      <c r="DN44" s="310"/>
      <c r="DO44" s="311"/>
      <c r="DP44" s="312"/>
      <c r="DR44" s="281" t="s">
        <v>172</v>
      </c>
      <c r="DS44" s="298"/>
      <c r="DT44" s="320">
        <f>SUM(DT34/DT14)</f>
        <v>-1.1827605321507761</v>
      </c>
      <c r="DU44" s="310"/>
      <c r="DV44" s="311"/>
      <c r="DW44" s="312"/>
      <c r="DX44" s="320">
        <f>SUM(DX34/DX14)</f>
        <v>0.17537463915775173</v>
      </c>
      <c r="DY44" s="310"/>
      <c r="DZ44" s="311"/>
      <c r="EA44" s="312"/>
      <c r="EC44" s="281" t="s">
        <v>172</v>
      </c>
      <c r="ED44" s="298"/>
      <c r="EE44" s="320">
        <f>SUM(EE34/EE14)</f>
        <v>1</v>
      </c>
      <c r="EF44" s="310"/>
      <c r="EG44" s="311"/>
      <c r="EH44" s="312"/>
      <c r="EI44" s="320">
        <f>SUM(EI34/EI14)</f>
        <v>0.21450595442689904</v>
      </c>
      <c r="EJ44" s="310"/>
      <c r="EK44" s="311"/>
      <c r="EL44" s="312"/>
    </row>
    <row r="45" spans="1:142" ht="13.5" thickBot="1">
      <c r="A45" s="281" t="s">
        <v>173</v>
      </c>
      <c r="B45" s="298"/>
      <c r="C45" s="320">
        <f>SUM(C35/C15)</f>
        <v>0.3383838383838384</v>
      </c>
      <c r="D45" s="310"/>
      <c r="E45" s="311"/>
      <c r="F45" s="312"/>
      <c r="G45" s="320">
        <f>SUM(G35/G15)</f>
        <v>0.3383838383838384</v>
      </c>
      <c r="H45" s="310"/>
      <c r="I45" s="311"/>
      <c r="J45" s="312"/>
      <c r="L45" s="281" t="s">
        <v>173</v>
      </c>
      <c r="M45" s="298"/>
      <c r="N45" s="320">
        <f>SUM(N35/N15)</f>
        <v>-0.3558823529411765</v>
      </c>
      <c r="O45" s="310"/>
      <c r="P45" s="311"/>
      <c r="Q45" s="312"/>
      <c r="R45" s="320">
        <f>SUM(R35/R15)</f>
        <v>-0.021010962241169304</v>
      </c>
      <c r="S45" s="310"/>
      <c r="T45" s="311"/>
      <c r="U45" s="312"/>
      <c r="W45" s="281" t="s">
        <v>173</v>
      </c>
      <c r="X45" s="298"/>
      <c r="Y45" s="320">
        <f>SUM(Y35/Y15)</f>
        <v>-0.933953488372093</v>
      </c>
      <c r="Z45" s="310"/>
      <c r="AA45" s="311"/>
      <c r="AB45" s="312"/>
      <c r="AC45" s="320">
        <f>SUM(AC35/AC15)</f>
        <v>-0.24615737554484973</v>
      </c>
      <c r="AD45" s="310"/>
      <c r="AE45" s="311"/>
      <c r="AF45" s="312"/>
      <c r="AH45" s="281" t="s">
        <v>173</v>
      </c>
      <c r="AI45" s="298"/>
      <c r="AJ45" s="320">
        <f>SUM(AJ35/AJ15)</f>
        <v>-0.5248359887535146</v>
      </c>
      <c r="AK45" s="310"/>
      <c r="AL45" s="311"/>
      <c r="AM45" s="312"/>
      <c r="AN45" s="320">
        <f>SUM(AN35/AN15)</f>
        <v>-0.30095834869148547</v>
      </c>
      <c r="AO45" s="310"/>
      <c r="AP45" s="311"/>
      <c r="AQ45" s="312"/>
      <c r="AS45" s="281" t="s">
        <v>173</v>
      </c>
      <c r="AT45" s="298"/>
      <c r="AU45" s="320">
        <f>SUM(AU35/AU15)</f>
        <v>-0.7504251700680272</v>
      </c>
      <c r="AV45" s="310"/>
      <c r="AW45" s="311"/>
      <c r="AX45" s="312"/>
      <c r="AY45" s="320">
        <f>SUM(AY35/AY15)</f>
        <v>-0.3810209027567404</v>
      </c>
      <c r="AZ45" s="310"/>
      <c r="BA45" s="311"/>
      <c r="BB45" s="312"/>
      <c r="BD45" s="281" t="s">
        <v>173</v>
      </c>
      <c r="BE45" s="298"/>
      <c r="BF45" s="320">
        <f>SUM(BF35/BF15)</f>
        <v>0.5064081498521196</v>
      </c>
      <c r="BG45" s="310"/>
      <c r="BH45" s="311"/>
      <c r="BI45" s="312"/>
      <c r="BJ45" s="320">
        <f>SUM(BJ35/BJ15)</f>
        <v>-0.21480888779466978</v>
      </c>
      <c r="BK45" s="310"/>
      <c r="BL45" s="311"/>
      <c r="BM45" s="312"/>
      <c r="BO45" s="281" t="s">
        <v>173</v>
      </c>
      <c r="BP45" s="298"/>
      <c r="BQ45" s="320">
        <f>SUM(BQ35/BQ15)</f>
        <v>-0.47770100502512564</v>
      </c>
      <c r="BR45" s="310"/>
      <c r="BS45" s="311"/>
      <c r="BT45" s="312"/>
      <c r="BU45" s="320">
        <f>SUM(BU35/BU15)</f>
        <v>-0.25788688178683544</v>
      </c>
      <c r="BV45" s="310"/>
      <c r="BW45" s="311"/>
      <c r="BX45" s="312"/>
      <c r="BZ45" s="281" t="s">
        <v>173</v>
      </c>
      <c r="CA45" s="298"/>
      <c r="CB45" s="320">
        <f>SUM(CB35/CB15)</f>
        <v>1</v>
      </c>
      <c r="CC45" s="310"/>
      <c r="CD45" s="311"/>
      <c r="CE45" s="312"/>
      <c r="CF45" s="320">
        <f>SUM(CF35/CF15)</f>
        <v>-0.08863352930696597</v>
      </c>
      <c r="CG45" s="310"/>
      <c r="CH45" s="311"/>
      <c r="CI45" s="312"/>
      <c r="CK45" s="281" t="s">
        <v>173</v>
      </c>
      <c r="CL45" s="298"/>
      <c r="CM45" s="320">
        <f>SUM(CM35/CM15)</f>
        <v>1</v>
      </c>
      <c r="CN45" s="310"/>
      <c r="CO45" s="311"/>
      <c r="CP45" s="312"/>
      <c r="CQ45" s="320">
        <f>SUM(CQ35/CQ15)</f>
        <v>0.045756227063324745</v>
      </c>
      <c r="CR45" s="310"/>
      <c r="CS45" s="311"/>
      <c r="CT45" s="312"/>
      <c r="CV45" s="281" t="s">
        <v>173</v>
      </c>
      <c r="CW45" s="298"/>
      <c r="CX45" s="320">
        <f>SUM(CX35/CX15)</f>
        <v>-0.23802281368821293</v>
      </c>
      <c r="CY45" s="310"/>
      <c r="CZ45" s="311"/>
      <c r="DA45" s="312"/>
      <c r="DB45" s="320">
        <f>SUM(DB35/DB15)</f>
        <v>0.019331539442005382</v>
      </c>
      <c r="DC45" s="310"/>
      <c r="DD45" s="311"/>
      <c r="DE45" s="312"/>
      <c r="DG45" s="281" t="s">
        <v>173</v>
      </c>
      <c r="DH45" s="298"/>
      <c r="DI45" s="320">
        <f>SUM(DI35/DI15)</f>
        <v>-0.4435674822415154</v>
      </c>
      <c r="DJ45" s="310"/>
      <c r="DK45" s="311"/>
      <c r="DL45" s="312"/>
      <c r="DM45" s="320">
        <f>SUM(DM35/DM15)</f>
        <v>-0.018779647800376893</v>
      </c>
      <c r="DN45" s="310"/>
      <c r="DO45" s="311"/>
      <c r="DP45" s="312"/>
      <c r="DR45" s="281" t="s">
        <v>173</v>
      </c>
      <c r="DS45" s="298"/>
      <c r="DT45" s="320">
        <f>SUM(DT35/DT15)</f>
        <v>-2.103061224489796</v>
      </c>
      <c r="DU45" s="310"/>
      <c r="DV45" s="311"/>
      <c r="DW45" s="312"/>
      <c r="DX45" s="320">
        <f>SUM(DX35/DX15)</f>
        <v>-0.083097172366018</v>
      </c>
      <c r="DY45" s="310"/>
      <c r="DZ45" s="311"/>
      <c r="EA45" s="312"/>
      <c r="EC45" s="281" t="s">
        <v>173</v>
      </c>
      <c r="ED45" s="298"/>
      <c r="EE45" s="320">
        <f>SUM(EE35/EE15)</f>
        <v>1</v>
      </c>
      <c r="EF45" s="310"/>
      <c r="EG45" s="311"/>
      <c r="EH45" s="312"/>
      <c r="EI45" s="320">
        <f>SUM(EI35/EI15)</f>
        <v>0.06745289413040531</v>
      </c>
      <c r="EJ45" s="310"/>
      <c r="EK45" s="311"/>
      <c r="EL45" s="312"/>
    </row>
    <row r="46" spans="1:142" ht="13.5" thickBot="1">
      <c r="A46" s="281" t="s">
        <v>174</v>
      </c>
      <c r="B46" s="298"/>
      <c r="C46" s="321">
        <f>SUM(C36/C16)</f>
        <v>-4.943666666666667</v>
      </c>
      <c r="D46" s="313"/>
      <c r="E46" s="314"/>
      <c r="F46" s="315"/>
      <c r="G46" s="321">
        <f>SUM(G36/G16)</f>
        <v>-4.943666666666667</v>
      </c>
      <c r="H46" s="313"/>
      <c r="I46" s="314"/>
      <c r="J46" s="315"/>
      <c r="L46" s="281" t="s">
        <v>174</v>
      </c>
      <c r="M46" s="298"/>
      <c r="N46" s="321">
        <f>SUM(N36/N16)</f>
        <v>0.966</v>
      </c>
      <c r="O46" s="313"/>
      <c r="P46" s="314"/>
      <c r="Q46" s="315"/>
      <c r="R46" s="321">
        <f>SUM(R36/R16)</f>
        <v>-3.46625</v>
      </c>
      <c r="S46" s="313"/>
      <c r="T46" s="314"/>
      <c r="U46" s="315"/>
      <c r="W46" s="281" t="s">
        <v>174</v>
      </c>
      <c r="X46" s="298"/>
      <c r="Y46" s="321">
        <f>SUM(Y36/Y16)</f>
        <v>-52.124</v>
      </c>
      <c r="Z46" s="313"/>
      <c r="AA46" s="314"/>
      <c r="AB46" s="315"/>
      <c r="AC46" s="321">
        <f>SUM(AC36/AC16)</f>
        <v>-13.1978</v>
      </c>
      <c r="AD46" s="313"/>
      <c r="AE46" s="314"/>
      <c r="AF46" s="315"/>
      <c r="AH46" s="281" t="s">
        <v>174</v>
      </c>
      <c r="AI46" s="298"/>
      <c r="AJ46" s="321">
        <f>SUM(AJ36/AJ16)</f>
        <v>-0.8735</v>
      </c>
      <c r="AK46" s="313"/>
      <c r="AL46" s="314"/>
      <c r="AM46" s="315"/>
      <c r="AN46" s="321">
        <f>SUM(AN36/AN16)</f>
        <v>-9.676571428571428</v>
      </c>
      <c r="AO46" s="313"/>
      <c r="AP46" s="314"/>
      <c r="AQ46" s="315"/>
      <c r="AS46" s="281" t="s">
        <v>174</v>
      </c>
      <c r="AT46" s="298"/>
      <c r="AU46" s="321">
        <f>SUM(AU36/AU16)</f>
        <v>0.941</v>
      </c>
      <c r="AV46" s="313"/>
      <c r="AW46" s="314"/>
      <c r="AX46" s="315"/>
      <c r="AY46" s="321">
        <f>SUM(AY36/AY16)</f>
        <v>-8.349375</v>
      </c>
      <c r="AZ46" s="313"/>
      <c r="BA46" s="314"/>
      <c r="BB46" s="315"/>
      <c r="BD46" s="281" t="s">
        <v>174</v>
      </c>
      <c r="BE46" s="298"/>
      <c r="BF46" s="321">
        <f>SUM(BF36/BF16)</f>
        <v>-10.8815</v>
      </c>
      <c r="BG46" s="313"/>
      <c r="BH46" s="314"/>
      <c r="BI46" s="315"/>
      <c r="BJ46" s="321">
        <f>SUM(BJ36/BJ16)</f>
        <v>-8.8558</v>
      </c>
      <c r="BK46" s="313"/>
      <c r="BL46" s="314"/>
      <c r="BM46" s="315"/>
      <c r="BO46" s="281" t="s">
        <v>174</v>
      </c>
      <c r="BP46" s="298"/>
      <c r="BQ46" s="321">
        <f>SUM(BQ36/BQ16)</f>
        <v>-0.22733333333333333</v>
      </c>
      <c r="BR46" s="313"/>
      <c r="BS46" s="314"/>
      <c r="BT46" s="315"/>
      <c r="BU46" s="321">
        <f>SUM(BU36/BU16)</f>
        <v>-6.864615384615385</v>
      </c>
      <c r="BV46" s="313"/>
      <c r="BW46" s="314"/>
      <c r="BX46" s="315"/>
      <c r="BZ46" s="281" t="s">
        <v>174</v>
      </c>
      <c r="CA46" s="298"/>
      <c r="CB46" s="321">
        <f>SUM(CB36/CB16)</f>
        <v>1</v>
      </c>
      <c r="CC46" s="313"/>
      <c r="CD46" s="314"/>
      <c r="CE46" s="315"/>
      <c r="CF46" s="321">
        <f>SUM(CF36/CF16)</f>
        <v>-5.39</v>
      </c>
      <c r="CG46" s="313"/>
      <c r="CH46" s="314"/>
      <c r="CI46" s="315"/>
      <c r="CK46" s="281" t="s">
        <v>174</v>
      </c>
      <c r="CL46" s="298"/>
      <c r="CM46" s="321">
        <f>SUM(CM36/CM16)</f>
        <v>1</v>
      </c>
      <c r="CN46" s="313"/>
      <c r="CO46" s="314"/>
      <c r="CP46" s="315"/>
      <c r="CQ46" s="321">
        <f>SUM(CQ36/CQ16)</f>
        <v>-4.68</v>
      </c>
      <c r="CR46" s="313"/>
      <c r="CS46" s="314"/>
      <c r="CT46" s="315"/>
      <c r="CV46" s="281" t="s">
        <v>174</v>
      </c>
      <c r="CW46" s="298"/>
      <c r="CX46" s="321">
        <f>SUM(CX36/CX16)</f>
        <v>0.9675287356321839</v>
      </c>
      <c r="CY46" s="313"/>
      <c r="CZ46" s="314"/>
      <c r="DA46" s="315"/>
      <c r="DB46" s="321">
        <f>SUM(DB36/DB16)</f>
        <v>-6.033539944903581</v>
      </c>
      <c r="DC46" s="313"/>
      <c r="DD46" s="314"/>
      <c r="DE46" s="315"/>
      <c r="DG46" s="281" t="s">
        <v>174</v>
      </c>
      <c r="DH46" s="298"/>
      <c r="DI46" s="321">
        <f>SUM(DI36/DI16)</f>
        <v>0.8590604026845637</v>
      </c>
      <c r="DJ46" s="313"/>
      <c r="DK46" s="314"/>
      <c r="DL46" s="315"/>
      <c r="DM46" s="321">
        <f>SUM(DM36/DM16)</f>
        <v>-6.252469267391459</v>
      </c>
      <c r="DN46" s="313"/>
      <c r="DO46" s="314"/>
      <c r="DP46" s="315"/>
      <c r="DR46" s="281" t="s">
        <v>174</v>
      </c>
      <c r="DS46" s="298"/>
      <c r="DT46" s="321">
        <f>SUM(DT36/DT16)</f>
        <v>0.8665475536008796</v>
      </c>
      <c r="DU46" s="313"/>
      <c r="DV46" s="314"/>
      <c r="DW46" s="315"/>
      <c r="DX46" s="321">
        <f>SUM(DX36/DX16)</f>
        <v>210.02296450939457</v>
      </c>
      <c r="DY46" s="313"/>
      <c r="DZ46" s="314"/>
      <c r="EA46" s="315"/>
      <c r="EC46" s="281" t="s">
        <v>174</v>
      </c>
      <c r="ED46" s="298"/>
      <c r="EE46" s="321" t="e">
        <f>SUM(EE36/EE16)</f>
        <v>#DIV/0!</v>
      </c>
      <c r="EF46" s="313"/>
      <c r="EG46" s="314"/>
      <c r="EH46" s="315"/>
      <c r="EI46" s="321">
        <f>SUM(EI36/EI16)</f>
        <v>210.02296450939457</v>
      </c>
      <c r="EJ46" s="313"/>
      <c r="EK46" s="314"/>
      <c r="EL46" s="315"/>
    </row>
    <row r="49" ht="12.75">
      <c r="E49" s="95"/>
    </row>
  </sheetData>
  <sheetProtection/>
  <mergeCells count="143">
    <mergeCell ref="Z10:AB10"/>
    <mergeCell ref="AD10:AF10"/>
    <mergeCell ref="AK10:AM10"/>
    <mergeCell ref="AO10:AQ10"/>
    <mergeCell ref="D10:F10"/>
    <mergeCell ref="H10:J10"/>
    <mergeCell ref="O10:Q10"/>
    <mergeCell ref="S10:U10"/>
    <mergeCell ref="BR10:BT10"/>
    <mergeCell ref="BV10:BX10"/>
    <mergeCell ref="CC10:CE10"/>
    <mergeCell ref="CG10:CI10"/>
    <mergeCell ref="AV10:AX10"/>
    <mergeCell ref="AZ10:BB10"/>
    <mergeCell ref="BG10:BI10"/>
    <mergeCell ref="BK10:BM10"/>
    <mergeCell ref="AK20:AM20"/>
    <mergeCell ref="AO20:AQ20"/>
    <mergeCell ref="DJ10:DL10"/>
    <mergeCell ref="DN10:DP10"/>
    <mergeCell ref="DU10:DW10"/>
    <mergeCell ref="DY10:EA10"/>
    <mergeCell ref="CN10:CP10"/>
    <mergeCell ref="CR10:CT10"/>
    <mergeCell ref="CY10:DA10"/>
    <mergeCell ref="DC10:DE10"/>
    <mergeCell ref="D20:F20"/>
    <mergeCell ref="H20:J20"/>
    <mergeCell ref="O20:Q20"/>
    <mergeCell ref="S20:U20"/>
    <mergeCell ref="Z20:AB20"/>
    <mergeCell ref="AD20:AF20"/>
    <mergeCell ref="BR20:BT20"/>
    <mergeCell ref="BV20:BX20"/>
    <mergeCell ref="CC20:CE20"/>
    <mergeCell ref="CG20:CI20"/>
    <mergeCell ref="AV20:AX20"/>
    <mergeCell ref="AZ20:BB20"/>
    <mergeCell ref="BG20:BI20"/>
    <mergeCell ref="BK20:BM20"/>
    <mergeCell ref="AK30:AM30"/>
    <mergeCell ref="AO30:AQ30"/>
    <mergeCell ref="DJ20:DL20"/>
    <mergeCell ref="DN20:DP20"/>
    <mergeCell ref="DU20:DW20"/>
    <mergeCell ref="DY20:EA20"/>
    <mergeCell ref="CN20:CP20"/>
    <mergeCell ref="CR20:CT20"/>
    <mergeCell ref="CY20:DA20"/>
    <mergeCell ref="DC20:DE20"/>
    <mergeCell ref="D30:F30"/>
    <mergeCell ref="H30:J30"/>
    <mergeCell ref="O30:Q30"/>
    <mergeCell ref="S30:U30"/>
    <mergeCell ref="Z30:AB30"/>
    <mergeCell ref="AD30:AF30"/>
    <mergeCell ref="CC30:CE30"/>
    <mergeCell ref="CG30:CI30"/>
    <mergeCell ref="AV30:AX30"/>
    <mergeCell ref="AZ30:BB30"/>
    <mergeCell ref="BG30:BI30"/>
    <mergeCell ref="BK30:BM30"/>
    <mergeCell ref="BO1:BY1"/>
    <mergeCell ref="BZ1:CJ1"/>
    <mergeCell ref="DJ30:DL30"/>
    <mergeCell ref="DN30:DP30"/>
    <mergeCell ref="DU30:DW30"/>
    <mergeCell ref="DY30:EA30"/>
    <mergeCell ref="CN30:CP30"/>
    <mergeCell ref="CR30:CT30"/>
    <mergeCell ref="CY30:DA30"/>
    <mergeCell ref="DC30:DE30"/>
    <mergeCell ref="A1:K1"/>
    <mergeCell ref="L1:V1"/>
    <mergeCell ref="W1:AG1"/>
    <mergeCell ref="AH1:AR1"/>
    <mergeCell ref="AS1:BC1"/>
    <mergeCell ref="BD1:BN1"/>
    <mergeCell ref="CK1:CU1"/>
    <mergeCell ref="CV1:DF1"/>
    <mergeCell ref="DG1:DQ1"/>
    <mergeCell ref="DR1:EB1"/>
    <mergeCell ref="EF30:EH30"/>
    <mergeCell ref="EJ30:EL30"/>
    <mergeCell ref="EF20:EH20"/>
    <mergeCell ref="EJ20:EL20"/>
    <mergeCell ref="EF10:EH10"/>
    <mergeCell ref="EJ10:EL10"/>
    <mergeCell ref="DR2:EB2"/>
    <mergeCell ref="EC2:EM2"/>
    <mergeCell ref="EC1:EM1"/>
    <mergeCell ref="A2:K2"/>
    <mergeCell ref="L2:V2"/>
    <mergeCell ref="W2:AG2"/>
    <mergeCell ref="AH2:AR2"/>
    <mergeCell ref="AS2:BC2"/>
    <mergeCell ref="BD2:BN2"/>
    <mergeCell ref="BO2:BY2"/>
    <mergeCell ref="A3:K3"/>
    <mergeCell ref="L3:V3"/>
    <mergeCell ref="W3:AG3"/>
    <mergeCell ref="AH3:AR3"/>
    <mergeCell ref="CV2:DF2"/>
    <mergeCell ref="DG2:DQ2"/>
    <mergeCell ref="BZ2:CJ2"/>
    <mergeCell ref="CK2:CU2"/>
    <mergeCell ref="CK3:CU3"/>
    <mergeCell ref="CV3:DF3"/>
    <mergeCell ref="DG3:DQ3"/>
    <mergeCell ref="DR3:EB3"/>
    <mergeCell ref="AS3:BC3"/>
    <mergeCell ref="BD3:BN3"/>
    <mergeCell ref="BO3:BY3"/>
    <mergeCell ref="BZ3:CJ3"/>
    <mergeCell ref="DR8:EB8"/>
    <mergeCell ref="EC8:EM8"/>
    <mergeCell ref="EC3:EM3"/>
    <mergeCell ref="A8:K8"/>
    <mergeCell ref="L8:V8"/>
    <mergeCell ref="W8:AG8"/>
    <mergeCell ref="AH8:AR8"/>
    <mergeCell ref="AS8:BC8"/>
    <mergeCell ref="BD8:BN8"/>
    <mergeCell ref="BO8:BY8"/>
    <mergeCell ref="A40:B40"/>
    <mergeCell ref="L40:M40"/>
    <mergeCell ref="W40:X40"/>
    <mergeCell ref="AH40:AI40"/>
    <mergeCell ref="CV8:DF8"/>
    <mergeCell ref="DG8:DQ8"/>
    <mergeCell ref="BZ8:CJ8"/>
    <mergeCell ref="CK8:CU8"/>
    <mergeCell ref="BR30:BT30"/>
    <mergeCell ref="BV30:BX30"/>
    <mergeCell ref="EC40:ED40"/>
    <mergeCell ref="CK40:CL40"/>
    <mergeCell ref="CV40:CW40"/>
    <mergeCell ref="DG40:DH40"/>
    <mergeCell ref="DR40:DS40"/>
    <mergeCell ref="AS40:AT40"/>
    <mergeCell ref="BD40:BE40"/>
    <mergeCell ref="BO40:BP40"/>
    <mergeCell ref="BZ40:CA40"/>
  </mergeCells>
  <printOptions horizontalCentered="1"/>
  <pageMargins left="0.7874015748031497" right="0.7874015748031497" top="0.5511811023622047" bottom="0.5511811023622047" header="0.31496062992125984" footer="0.31496062992125984"/>
  <pageSetup horizontalDpi="600" verticalDpi="600" orientation="landscape" scale="88" r:id="rId2"/>
  <headerFooter alignWithMargins="0">
    <oddHeader>&amp;C&amp;14Cité de la Santé de Laval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92"/>
  <sheetViews>
    <sheetView view="pageBreakPreview" zoomScale="60" zoomScaleNormal="80" zoomScalePageLayoutView="0" workbookViewId="0" topLeftCell="A1">
      <selection activeCell="D5" sqref="D5"/>
    </sheetView>
  </sheetViews>
  <sheetFormatPr defaultColWidth="42.57421875" defaultRowHeight="12.75"/>
  <cols>
    <col min="1" max="1" width="31.421875" style="0" bestFit="1" customWidth="1"/>
    <col min="2" max="2" width="13.00390625" style="0" bestFit="1" customWidth="1"/>
    <col min="3" max="4" width="8.00390625" style="171" bestFit="1" customWidth="1"/>
    <col min="5" max="5" width="6.28125" style="171" bestFit="1" customWidth="1"/>
    <col min="6" max="6" width="3.00390625" style="171" bestFit="1" customWidth="1"/>
    <col min="7" max="7" width="9.421875" style="171" bestFit="1" customWidth="1"/>
    <col min="8" max="8" width="17.57421875" style="171" customWidth="1"/>
    <col min="9" max="9" width="6.7109375" style="171" bestFit="1" customWidth="1"/>
    <col min="10" max="10" width="8.8515625" style="171" bestFit="1" customWidth="1"/>
    <col min="11" max="11" width="11.00390625" style="171" bestFit="1" customWidth="1"/>
    <col min="12" max="12" width="6.28125" style="171" bestFit="1" customWidth="1"/>
    <col min="13" max="13" width="3.00390625" style="171" bestFit="1" customWidth="1"/>
    <col min="14" max="14" width="8.00390625" style="171" bestFit="1" customWidth="1"/>
    <col min="15" max="15" width="7.57421875" style="171" bestFit="1" customWidth="1"/>
    <col min="16" max="16" width="6.7109375" style="171" bestFit="1" customWidth="1"/>
    <col min="17" max="17" width="8.00390625" style="171" bestFit="1" customWidth="1"/>
    <col min="18" max="18" width="8.8515625" style="171" bestFit="1" customWidth="1"/>
    <col min="19" max="19" width="8.57421875" style="171" bestFit="1" customWidth="1"/>
    <col min="20" max="20" width="6.7109375" style="171" bestFit="1" customWidth="1"/>
    <col min="21" max="21" width="22.28125" style="0" customWidth="1"/>
    <col min="22" max="22" width="13.00390625" style="0" bestFit="1" customWidth="1"/>
    <col min="23" max="23" width="8.00390625" style="0" bestFit="1" customWidth="1"/>
    <col min="24" max="24" width="7.00390625" style="0" bestFit="1" customWidth="1"/>
    <col min="25" max="25" width="6.28125" style="0" bestFit="1" customWidth="1"/>
    <col min="26" max="26" width="3.00390625" style="0" bestFit="1" customWidth="1"/>
    <col min="27" max="27" width="7.00390625" style="0" customWidth="1"/>
    <col min="28" max="28" width="13.57421875" style="0" customWidth="1"/>
    <col min="29" max="29" width="6.7109375" style="0" bestFit="1" customWidth="1"/>
    <col min="30" max="30" width="8.8515625" style="0" bestFit="1" customWidth="1"/>
    <col min="31" max="31" width="7.00390625" style="0" bestFit="1" customWidth="1"/>
    <col min="32" max="32" width="6.28125" style="0" bestFit="1" customWidth="1"/>
    <col min="33" max="33" width="3.00390625" style="0" bestFit="1" customWidth="1"/>
    <col min="34" max="34" width="7.00390625" style="0" bestFit="1" customWidth="1"/>
    <col min="35" max="35" width="7.57421875" style="0" bestFit="1" customWidth="1"/>
    <col min="36" max="36" width="6.140625" style="0" bestFit="1" customWidth="1"/>
    <col min="37" max="37" width="8.00390625" style="0" bestFit="1" customWidth="1"/>
    <col min="38" max="38" width="7.7109375" style="0" bestFit="1" customWidth="1"/>
    <col min="39" max="39" width="6.28125" style="0" bestFit="1" customWidth="1"/>
    <col min="40" max="40" width="6.7109375" style="0" bestFit="1" customWidth="1"/>
    <col min="41" max="41" width="22.00390625" style="0" customWidth="1"/>
    <col min="42" max="42" width="13.00390625" style="0" bestFit="1" customWidth="1"/>
    <col min="43" max="43" width="8.00390625" style="0" bestFit="1" customWidth="1"/>
    <col min="44" max="44" width="7.00390625" style="0" bestFit="1" customWidth="1"/>
    <col min="45" max="45" width="6.28125" style="0" bestFit="1" customWidth="1"/>
    <col min="46" max="46" width="3.00390625" style="0" bestFit="1" customWidth="1"/>
    <col min="47" max="47" width="7.00390625" style="0" bestFit="1" customWidth="1"/>
    <col min="48" max="48" width="13.00390625" style="0" customWidth="1"/>
    <col min="49" max="49" width="6.140625" style="0" bestFit="1" customWidth="1"/>
    <col min="50" max="50" width="8.00390625" style="0" bestFit="1" customWidth="1"/>
    <col min="51" max="51" width="7.00390625" style="0" bestFit="1" customWidth="1"/>
    <col min="52" max="52" width="6.28125" style="0" bestFit="1" customWidth="1"/>
    <col min="53" max="53" width="3.00390625" style="0" bestFit="1" customWidth="1"/>
    <col min="54" max="54" width="7.00390625" style="0" bestFit="1" customWidth="1"/>
    <col min="55" max="55" width="7.57421875" style="0" bestFit="1" customWidth="1"/>
    <col min="56" max="56" width="6.140625" style="0" bestFit="1" customWidth="1"/>
    <col min="57" max="57" width="8.00390625" style="0" bestFit="1" customWidth="1"/>
    <col min="58" max="58" width="7.7109375" style="0" bestFit="1" customWidth="1"/>
    <col min="59" max="59" width="6.28125" style="0" bestFit="1" customWidth="1"/>
    <col min="60" max="60" width="6.7109375" style="0" bestFit="1" customWidth="1"/>
    <col min="61" max="61" width="22.421875" style="0" customWidth="1"/>
    <col min="62" max="62" width="13.00390625" style="0" bestFit="1" customWidth="1"/>
    <col min="63" max="63" width="8.00390625" style="0" bestFit="1" customWidth="1"/>
    <col min="64" max="64" width="7.00390625" style="0" bestFit="1" customWidth="1"/>
    <col min="65" max="65" width="6.28125" style="0" bestFit="1" customWidth="1"/>
    <col min="66" max="66" width="3.00390625" style="0" bestFit="1" customWidth="1"/>
    <col min="67" max="67" width="7.00390625" style="0" bestFit="1" customWidth="1"/>
    <col min="68" max="68" width="15.00390625" style="0" customWidth="1"/>
    <col min="69" max="69" width="6.7109375" style="0" bestFit="1" customWidth="1"/>
    <col min="70" max="70" width="8.8515625" style="0" bestFit="1" customWidth="1"/>
    <col min="71" max="71" width="7.00390625" style="0" bestFit="1" customWidth="1"/>
    <col min="72" max="72" width="6.28125" style="0" bestFit="1" customWidth="1"/>
    <col min="73" max="73" width="3.00390625" style="0" bestFit="1" customWidth="1"/>
    <col min="74" max="74" width="7.00390625" style="0" bestFit="1" customWidth="1"/>
    <col min="75" max="75" width="7.57421875" style="0" bestFit="1" customWidth="1"/>
    <col min="76" max="76" width="6.140625" style="0" bestFit="1" customWidth="1"/>
    <col min="77" max="77" width="8.00390625" style="0" bestFit="1" customWidth="1"/>
    <col min="78" max="78" width="7.7109375" style="0" bestFit="1" customWidth="1"/>
    <col min="79" max="79" width="6.28125" style="0" bestFit="1" customWidth="1"/>
    <col min="80" max="80" width="6.7109375" style="0" bestFit="1" customWidth="1"/>
    <col min="81" max="81" width="22.28125" style="0" customWidth="1"/>
    <col min="82" max="82" width="13.00390625" style="0" bestFit="1" customWidth="1"/>
    <col min="83" max="83" width="8.00390625" style="0" bestFit="1" customWidth="1"/>
    <col min="84" max="84" width="7.00390625" style="0" bestFit="1" customWidth="1"/>
    <col min="85" max="85" width="6.28125" style="0" bestFit="1" customWidth="1"/>
    <col min="86" max="86" width="3.00390625" style="0" bestFit="1" customWidth="1"/>
    <col min="87" max="87" width="7.00390625" style="0" bestFit="1" customWidth="1"/>
    <col min="88" max="88" width="14.00390625" style="0" customWidth="1"/>
    <col min="89" max="89" width="5.140625" style="0" bestFit="1" customWidth="1"/>
    <col min="90" max="90" width="8.00390625" style="0" bestFit="1" customWidth="1"/>
    <col min="91" max="91" width="7.00390625" style="0" bestFit="1" customWidth="1"/>
    <col min="92" max="92" width="6.28125" style="0" bestFit="1" customWidth="1"/>
    <col min="93" max="93" width="3.00390625" style="0" bestFit="1" customWidth="1"/>
    <col min="94" max="94" width="7.00390625" style="0" bestFit="1" customWidth="1"/>
    <col min="95" max="95" width="7.57421875" style="0" bestFit="1" customWidth="1"/>
    <col min="96" max="96" width="5.140625" style="0" bestFit="1" customWidth="1"/>
    <col min="97" max="97" width="8.00390625" style="0" bestFit="1" customWidth="1"/>
    <col min="98" max="98" width="7.7109375" style="0" bestFit="1" customWidth="1"/>
    <col min="99" max="99" width="6.28125" style="0" bestFit="1" customWidth="1"/>
    <col min="100" max="100" width="6.7109375" style="0" bestFit="1" customWidth="1"/>
    <col min="101" max="101" width="22.140625" style="0" customWidth="1"/>
    <col min="102" max="102" width="13.00390625" style="0" bestFit="1" customWidth="1"/>
    <col min="103" max="103" width="8.00390625" style="0" bestFit="1" customWidth="1"/>
    <col min="104" max="104" width="7.00390625" style="0" bestFit="1" customWidth="1"/>
    <col min="105" max="105" width="6.28125" style="0" bestFit="1" customWidth="1"/>
    <col min="106" max="106" width="3.00390625" style="0" bestFit="1" customWidth="1"/>
    <col min="107" max="107" width="8.00390625" style="0" bestFit="1" customWidth="1"/>
    <col min="108" max="108" width="15.421875" style="0" customWidth="1"/>
    <col min="109" max="109" width="6.140625" style="0" bestFit="1" customWidth="1"/>
    <col min="110" max="110" width="8.00390625" style="0" bestFit="1" customWidth="1"/>
    <col min="111" max="111" width="10.00390625" style="0" bestFit="1" customWidth="1"/>
    <col min="112" max="112" width="6.28125" style="0" bestFit="1" customWidth="1"/>
    <col min="113" max="113" width="3.00390625" style="0" bestFit="1" customWidth="1"/>
    <col min="114" max="114" width="7.00390625" style="0" bestFit="1" customWidth="1"/>
    <col min="115" max="115" width="7.57421875" style="0" bestFit="1" customWidth="1"/>
    <col min="116" max="116" width="5.140625" style="0" bestFit="1" customWidth="1"/>
    <col min="117" max="117" width="8.00390625" style="0" bestFit="1" customWidth="1"/>
    <col min="118" max="118" width="7.7109375" style="0" bestFit="1" customWidth="1"/>
    <col min="119" max="119" width="6.28125" style="0" bestFit="1" customWidth="1"/>
    <col min="120" max="120" width="6.7109375" style="0" bestFit="1" customWidth="1"/>
    <col min="121" max="121" width="20.8515625" style="0" customWidth="1"/>
    <col min="122" max="122" width="13.00390625" style="0" bestFit="1" customWidth="1"/>
    <col min="123" max="123" width="8.00390625" style="0" bestFit="1" customWidth="1"/>
    <col min="124" max="124" width="7.00390625" style="0" bestFit="1" customWidth="1"/>
    <col min="125" max="125" width="6.28125" style="0" bestFit="1" customWidth="1"/>
    <col min="126" max="126" width="3.00390625" style="0" bestFit="1" customWidth="1"/>
    <col min="127" max="127" width="7.00390625" style="0" bestFit="1" customWidth="1"/>
    <col min="128" max="128" width="13.57421875" style="0" customWidth="1"/>
    <col min="129" max="129" width="5.140625" style="0" bestFit="1" customWidth="1"/>
    <col min="130" max="130" width="8.8515625" style="0" bestFit="1" customWidth="1"/>
    <col min="131" max="131" width="11.00390625" style="0" bestFit="1" customWidth="1"/>
    <col min="132" max="132" width="6.28125" style="0" bestFit="1" customWidth="1"/>
    <col min="133" max="133" width="3.00390625" style="0" bestFit="1" customWidth="1"/>
    <col min="134" max="134" width="8.8515625" style="0" customWidth="1"/>
    <col min="135" max="135" width="7.57421875" style="0" bestFit="1" customWidth="1"/>
    <col min="136" max="136" width="5.140625" style="0" bestFit="1" customWidth="1"/>
    <col min="137" max="137" width="8.00390625" style="0" bestFit="1" customWidth="1"/>
    <col min="138" max="138" width="7.7109375" style="0" bestFit="1" customWidth="1"/>
    <col min="139" max="139" width="6.28125" style="0" bestFit="1" customWidth="1"/>
    <col min="140" max="140" width="6.7109375" style="0" bestFit="1" customWidth="1"/>
    <col min="141" max="141" width="22.140625" style="0" customWidth="1"/>
    <col min="142" max="142" width="13.00390625" style="0" bestFit="1" customWidth="1"/>
    <col min="143" max="143" width="8.00390625" style="0" bestFit="1" customWidth="1"/>
    <col min="144" max="144" width="7.00390625" style="0" bestFit="1" customWidth="1"/>
    <col min="145" max="145" width="6.28125" style="0" bestFit="1" customWidth="1"/>
    <col min="146" max="146" width="3.00390625" style="0" bestFit="1" customWidth="1"/>
    <col min="147" max="147" width="8.00390625" style="0" bestFit="1" customWidth="1"/>
    <col min="148" max="148" width="11.140625" style="0" customWidth="1"/>
    <col min="149" max="149" width="5.140625" style="0" bestFit="1" customWidth="1"/>
    <col min="150" max="150" width="8.8515625" style="0" bestFit="1" customWidth="1"/>
    <col min="151" max="151" width="11.00390625" style="0" bestFit="1" customWidth="1"/>
    <col min="152" max="152" width="6.28125" style="0" bestFit="1" customWidth="1"/>
    <col min="153" max="153" width="3.00390625" style="0" bestFit="1" customWidth="1"/>
    <col min="154" max="154" width="7.00390625" style="0" bestFit="1" customWidth="1"/>
    <col min="155" max="155" width="7.57421875" style="0" bestFit="1" customWidth="1"/>
    <col min="156" max="156" width="5.140625" style="0" bestFit="1" customWidth="1"/>
    <col min="157" max="157" width="8.00390625" style="0" bestFit="1" customWidth="1"/>
    <col min="158" max="158" width="7.7109375" style="0" bestFit="1" customWidth="1"/>
    <col min="159" max="159" width="6.28125" style="0" bestFit="1" customWidth="1"/>
    <col min="160" max="160" width="6.7109375" style="0" bestFit="1" customWidth="1"/>
    <col min="161" max="161" width="22.00390625" style="0" customWidth="1"/>
    <col min="162" max="162" width="13.00390625" style="0" bestFit="1" customWidth="1"/>
    <col min="163" max="163" width="8.00390625" style="0" bestFit="1" customWidth="1"/>
    <col min="164" max="164" width="7.00390625" style="0" bestFit="1" customWidth="1"/>
    <col min="165" max="165" width="6.28125" style="0" bestFit="1" customWidth="1"/>
    <col min="166" max="166" width="3.00390625" style="0" bestFit="1" customWidth="1"/>
    <col min="167" max="167" width="7.00390625" style="0" bestFit="1" customWidth="1"/>
    <col min="168" max="168" width="13.28125" style="0" customWidth="1"/>
    <col min="169" max="169" width="5.140625" style="0" bestFit="1" customWidth="1"/>
    <col min="170" max="170" width="8.00390625" style="0" bestFit="1" customWidth="1"/>
    <col min="171" max="171" width="11.00390625" style="0" bestFit="1" customWidth="1"/>
    <col min="172" max="172" width="6.28125" style="0" bestFit="1" customWidth="1"/>
    <col min="173" max="173" width="3.00390625" style="0" bestFit="1" customWidth="1"/>
    <col min="174" max="174" width="8.00390625" style="0" bestFit="1" customWidth="1"/>
    <col min="175" max="175" width="7.57421875" style="0" bestFit="1" customWidth="1"/>
    <col min="176" max="176" width="5.140625" style="0" bestFit="1" customWidth="1"/>
    <col min="177" max="177" width="8.00390625" style="0" bestFit="1" customWidth="1"/>
    <col min="178" max="178" width="7.7109375" style="0" bestFit="1" customWidth="1"/>
    <col min="179" max="179" width="6.28125" style="0" bestFit="1" customWidth="1"/>
    <col min="180" max="180" width="6.7109375" style="0" bestFit="1" customWidth="1"/>
    <col min="181" max="181" width="22.8515625" style="0" customWidth="1"/>
    <col min="182" max="182" width="13.00390625" style="0" bestFit="1" customWidth="1"/>
    <col min="183" max="184" width="8.00390625" style="0" bestFit="1" customWidth="1"/>
    <col min="185" max="185" width="6.28125" style="0" bestFit="1" customWidth="1"/>
    <col min="186" max="186" width="3.00390625" style="0" bestFit="1" customWidth="1"/>
    <col min="187" max="187" width="7.00390625" style="0" bestFit="1" customWidth="1"/>
    <col min="188" max="188" width="11.28125" style="0" customWidth="1"/>
    <col min="189" max="189" width="5.140625" style="0" bestFit="1" customWidth="1"/>
    <col min="190" max="190" width="8.00390625" style="0" bestFit="1" customWidth="1"/>
    <col min="191" max="191" width="11.00390625" style="0" bestFit="1" customWidth="1"/>
    <col min="192" max="192" width="6.28125" style="0" bestFit="1" customWidth="1"/>
    <col min="193" max="193" width="3.00390625" style="0" bestFit="1" customWidth="1"/>
    <col min="194" max="194" width="8.00390625" style="0" bestFit="1" customWidth="1"/>
    <col min="195" max="195" width="7.57421875" style="0" bestFit="1" customWidth="1"/>
    <col min="196" max="196" width="5.140625" style="0" bestFit="1" customWidth="1"/>
    <col min="197" max="197" width="8.00390625" style="0" bestFit="1" customWidth="1"/>
    <col min="198" max="198" width="7.7109375" style="0" bestFit="1" customWidth="1"/>
    <col min="199" max="199" width="6.28125" style="0" bestFit="1" customWidth="1"/>
    <col min="200" max="200" width="6.7109375" style="0" bestFit="1" customWidth="1"/>
    <col min="201" max="201" width="21.8515625" style="0" customWidth="1"/>
    <col min="202" max="202" width="13.00390625" style="0" bestFit="1" customWidth="1"/>
    <col min="203" max="204" width="8.00390625" style="0" bestFit="1" customWidth="1"/>
    <col min="205" max="205" width="6.28125" style="0" bestFit="1" customWidth="1"/>
    <col min="206" max="206" width="3.00390625" style="0" bestFit="1" customWidth="1"/>
    <col min="207" max="207" width="7.00390625" style="0" bestFit="1" customWidth="1"/>
    <col min="208" max="208" width="9.421875" style="0" customWidth="1"/>
    <col min="209" max="209" width="5.140625" style="0" bestFit="1" customWidth="1"/>
    <col min="210" max="210" width="8.00390625" style="0" bestFit="1" customWidth="1"/>
    <col min="211" max="211" width="11.00390625" style="0" bestFit="1" customWidth="1"/>
    <col min="212" max="212" width="6.28125" style="0" bestFit="1" customWidth="1"/>
    <col min="213" max="213" width="3.00390625" style="0" bestFit="1" customWidth="1"/>
    <col min="214" max="214" width="8.00390625" style="0" bestFit="1" customWidth="1"/>
    <col min="215" max="215" width="7.57421875" style="0" bestFit="1" customWidth="1"/>
    <col min="216" max="216" width="5.140625" style="0" bestFit="1" customWidth="1"/>
    <col min="217" max="217" width="8.00390625" style="0" bestFit="1" customWidth="1"/>
    <col min="218" max="218" width="7.7109375" style="0" bestFit="1" customWidth="1"/>
    <col min="219" max="219" width="6.28125" style="0" bestFit="1" customWidth="1"/>
    <col min="220" max="220" width="6.7109375" style="0" bestFit="1" customWidth="1"/>
    <col min="221" max="221" width="14.57421875" style="0" customWidth="1"/>
    <col min="222" max="222" width="13.00390625" style="0" bestFit="1" customWidth="1"/>
    <col min="223" max="224" width="8.00390625" style="0" bestFit="1" customWidth="1"/>
    <col min="225" max="225" width="6.28125" style="0" bestFit="1" customWidth="1"/>
    <col min="226" max="226" width="3.00390625" style="0" bestFit="1" customWidth="1"/>
    <col min="227" max="227" width="7.00390625" style="0" bestFit="1" customWidth="1"/>
    <col min="228" max="228" width="12.57421875" style="0" customWidth="1"/>
    <col min="229" max="229" width="5.140625" style="0" bestFit="1" customWidth="1"/>
    <col min="230" max="230" width="8.00390625" style="0" bestFit="1" customWidth="1"/>
    <col min="231" max="231" width="11.00390625" style="0" bestFit="1" customWidth="1"/>
    <col min="232" max="232" width="6.28125" style="0" bestFit="1" customWidth="1"/>
    <col min="233" max="233" width="3.00390625" style="0" bestFit="1" customWidth="1"/>
    <col min="234" max="234" width="8.00390625" style="0" bestFit="1" customWidth="1"/>
    <col min="235" max="235" width="7.57421875" style="0" bestFit="1" customWidth="1"/>
    <col min="236" max="236" width="5.140625" style="0" bestFit="1" customWidth="1"/>
    <col min="237" max="237" width="8.00390625" style="0" bestFit="1" customWidth="1"/>
    <col min="238" max="238" width="7.7109375" style="0" bestFit="1" customWidth="1"/>
    <col min="239" max="239" width="6.28125" style="0" bestFit="1" customWidth="1"/>
    <col min="240" max="240" width="6.7109375" style="0" bestFit="1" customWidth="1"/>
  </cols>
  <sheetData>
    <row r="1" spans="1:240" ht="12.75">
      <c r="A1" s="507" t="s">
        <v>127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 t="s">
        <v>127</v>
      </c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 t="s">
        <v>127</v>
      </c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 t="s">
        <v>127</v>
      </c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  <c r="CA1" s="507"/>
      <c r="CB1" s="507"/>
      <c r="CC1" s="507" t="s">
        <v>127</v>
      </c>
      <c r="CD1" s="507"/>
      <c r="CE1" s="507"/>
      <c r="CF1" s="507"/>
      <c r="CG1" s="507"/>
      <c r="CH1" s="507"/>
      <c r="CI1" s="507"/>
      <c r="CJ1" s="507"/>
      <c r="CK1" s="507"/>
      <c r="CL1" s="507"/>
      <c r="CM1" s="507"/>
      <c r="CN1" s="507"/>
      <c r="CO1" s="507"/>
      <c r="CP1" s="507"/>
      <c r="CQ1" s="507"/>
      <c r="CR1" s="507"/>
      <c r="CS1" s="507"/>
      <c r="CT1" s="507"/>
      <c r="CU1" s="507"/>
      <c r="CV1" s="507"/>
      <c r="CW1" s="507" t="s">
        <v>127</v>
      </c>
      <c r="CX1" s="507"/>
      <c r="CY1" s="507"/>
      <c r="CZ1" s="507"/>
      <c r="DA1" s="507"/>
      <c r="DB1" s="507"/>
      <c r="DC1" s="507"/>
      <c r="DD1" s="507"/>
      <c r="DE1" s="507"/>
      <c r="DF1" s="507"/>
      <c r="DG1" s="507"/>
      <c r="DH1" s="507"/>
      <c r="DI1" s="507"/>
      <c r="DJ1" s="507"/>
      <c r="DK1" s="507"/>
      <c r="DL1" s="507"/>
      <c r="DM1" s="507"/>
      <c r="DN1" s="507"/>
      <c r="DO1" s="507"/>
      <c r="DP1" s="507"/>
      <c r="DQ1" s="507" t="s">
        <v>127</v>
      </c>
      <c r="DR1" s="507"/>
      <c r="DS1" s="507"/>
      <c r="DT1" s="507"/>
      <c r="DU1" s="507"/>
      <c r="DV1" s="507"/>
      <c r="DW1" s="507"/>
      <c r="DX1" s="507"/>
      <c r="DY1" s="507"/>
      <c r="DZ1" s="507"/>
      <c r="EA1" s="507"/>
      <c r="EB1" s="507"/>
      <c r="EC1" s="507"/>
      <c r="ED1" s="507"/>
      <c r="EE1" s="507"/>
      <c r="EF1" s="507"/>
      <c r="EG1" s="507"/>
      <c r="EH1" s="507"/>
      <c r="EI1" s="507"/>
      <c r="EJ1" s="507"/>
      <c r="EK1" s="507" t="s">
        <v>127</v>
      </c>
      <c r="EL1" s="507"/>
      <c r="EM1" s="507"/>
      <c r="EN1" s="507"/>
      <c r="EO1" s="507"/>
      <c r="EP1" s="507"/>
      <c r="EQ1" s="507"/>
      <c r="ER1" s="507"/>
      <c r="ES1" s="507"/>
      <c r="ET1" s="507"/>
      <c r="EU1" s="507"/>
      <c r="EV1" s="507"/>
      <c r="EW1" s="507"/>
      <c r="EX1" s="507"/>
      <c r="EY1" s="507"/>
      <c r="EZ1" s="507"/>
      <c r="FA1" s="507"/>
      <c r="FB1" s="507"/>
      <c r="FC1" s="507"/>
      <c r="FD1" s="507"/>
      <c r="FE1" s="507" t="s">
        <v>127</v>
      </c>
      <c r="FF1" s="507"/>
      <c r="FG1" s="507"/>
      <c r="FH1" s="507"/>
      <c r="FI1" s="507"/>
      <c r="FJ1" s="507"/>
      <c r="FK1" s="507"/>
      <c r="FL1" s="507"/>
      <c r="FM1" s="507"/>
      <c r="FN1" s="507"/>
      <c r="FO1" s="507"/>
      <c r="FP1" s="507"/>
      <c r="FQ1" s="507"/>
      <c r="FR1" s="507"/>
      <c r="FS1" s="507"/>
      <c r="FT1" s="507"/>
      <c r="FU1" s="507"/>
      <c r="FV1" s="507"/>
      <c r="FW1" s="507"/>
      <c r="FX1" s="507"/>
      <c r="FY1" s="507" t="s">
        <v>127</v>
      </c>
      <c r="FZ1" s="507"/>
      <c r="GA1" s="507"/>
      <c r="GB1" s="507"/>
      <c r="GC1" s="507"/>
      <c r="GD1" s="507"/>
      <c r="GE1" s="507"/>
      <c r="GF1" s="507"/>
      <c r="GG1" s="507"/>
      <c r="GH1" s="507"/>
      <c r="GI1" s="507"/>
      <c r="GJ1" s="507"/>
      <c r="GK1" s="507"/>
      <c r="GL1" s="507"/>
      <c r="GM1" s="507"/>
      <c r="GN1" s="507"/>
      <c r="GO1" s="507"/>
      <c r="GP1" s="507"/>
      <c r="GQ1" s="507"/>
      <c r="GR1" s="507"/>
      <c r="GS1" s="507" t="s">
        <v>127</v>
      </c>
      <c r="GT1" s="507"/>
      <c r="GU1" s="507"/>
      <c r="GV1" s="507"/>
      <c r="GW1" s="507"/>
      <c r="GX1" s="507"/>
      <c r="GY1" s="507"/>
      <c r="GZ1" s="507"/>
      <c r="HA1" s="507"/>
      <c r="HB1" s="507"/>
      <c r="HC1" s="507"/>
      <c r="HD1" s="507"/>
      <c r="HE1" s="507"/>
      <c r="HF1" s="507"/>
      <c r="HG1" s="507"/>
      <c r="HH1" s="507"/>
      <c r="HI1" s="507"/>
      <c r="HJ1" s="507"/>
      <c r="HK1" s="507"/>
      <c r="HL1" s="507"/>
      <c r="HM1" s="507" t="s">
        <v>127</v>
      </c>
      <c r="HN1" s="507"/>
      <c r="HO1" s="507"/>
      <c r="HP1" s="507"/>
      <c r="HQ1" s="507"/>
      <c r="HR1" s="507"/>
      <c r="HS1" s="507"/>
      <c r="HT1" s="507"/>
      <c r="HU1" s="507"/>
      <c r="HV1" s="507"/>
      <c r="HW1" s="507"/>
      <c r="HX1" s="507"/>
      <c r="HY1" s="507"/>
      <c r="HZ1" s="507"/>
      <c r="IA1" s="507"/>
      <c r="IB1" s="507"/>
      <c r="IC1" s="507"/>
      <c r="ID1" s="507"/>
      <c r="IE1" s="507"/>
      <c r="IF1" s="507"/>
    </row>
    <row r="2" spans="1:240" ht="12.75">
      <c r="A2" s="507" t="s">
        <v>203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 t="s">
        <v>214</v>
      </c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 t="s">
        <v>225</v>
      </c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 t="s">
        <v>229</v>
      </c>
      <c r="BJ2" s="507"/>
      <c r="BK2" s="507"/>
      <c r="BL2" s="507"/>
      <c r="BM2" s="507"/>
      <c r="BN2" s="507"/>
      <c r="BO2" s="507"/>
      <c r="BP2" s="507"/>
      <c r="BQ2" s="507"/>
      <c r="BR2" s="507"/>
      <c r="BS2" s="507"/>
      <c r="BT2" s="507"/>
      <c r="BU2" s="507"/>
      <c r="BV2" s="507"/>
      <c r="BW2" s="507"/>
      <c r="BX2" s="507"/>
      <c r="BY2" s="507"/>
      <c r="BZ2" s="507"/>
      <c r="CA2" s="507"/>
      <c r="CB2" s="507"/>
      <c r="CC2" s="507" t="s">
        <v>154</v>
      </c>
      <c r="CD2" s="507"/>
      <c r="CE2" s="507"/>
      <c r="CF2" s="507"/>
      <c r="CG2" s="507"/>
      <c r="CH2" s="507"/>
      <c r="CI2" s="507"/>
      <c r="CJ2" s="507"/>
      <c r="CK2" s="507"/>
      <c r="CL2" s="507"/>
      <c r="CM2" s="507"/>
      <c r="CN2" s="507"/>
      <c r="CO2" s="507"/>
      <c r="CP2" s="507"/>
      <c r="CQ2" s="507"/>
      <c r="CR2" s="507"/>
      <c r="CS2" s="507"/>
      <c r="CT2" s="507"/>
      <c r="CU2" s="507"/>
      <c r="CV2" s="507"/>
      <c r="CW2" s="507" t="s">
        <v>238</v>
      </c>
      <c r="CX2" s="507"/>
      <c r="CY2" s="507"/>
      <c r="CZ2" s="507"/>
      <c r="DA2" s="507"/>
      <c r="DB2" s="507"/>
      <c r="DC2" s="507"/>
      <c r="DD2" s="507"/>
      <c r="DE2" s="507"/>
      <c r="DF2" s="507"/>
      <c r="DG2" s="507"/>
      <c r="DH2" s="507"/>
      <c r="DI2" s="507"/>
      <c r="DJ2" s="507"/>
      <c r="DK2" s="507"/>
      <c r="DL2" s="507"/>
      <c r="DM2" s="507"/>
      <c r="DN2" s="507"/>
      <c r="DO2" s="507"/>
      <c r="DP2" s="507"/>
      <c r="DQ2" s="507" t="s">
        <v>241</v>
      </c>
      <c r="DR2" s="507"/>
      <c r="DS2" s="507"/>
      <c r="DT2" s="507"/>
      <c r="DU2" s="507"/>
      <c r="DV2" s="507"/>
      <c r="DW2" s="507"/>
      <c r="DX2" s="507"/>
      <c r="DY2" s="507"/>
      <c r="DZ2" s="507"/>
      <c r="EA2" s="507"/>
      <c r="EB2" s="507"/>
      <c r="EC2" s="507"/>
      <c r="ED2" s="507"/>
      <c r="EE2" s="507"/>
      <c r="EF2" s="507"/>
      <c r="EG2" s="507"/>
      <c r="EH2" s="507"/>
      <c r="EI2" s="507"/>
      <c r="EJ2" s="507"/>
      <c r="EK2" s="507" t="s">
        <v>155</v>
      </c>
      <c r="EL2" s="507"/>
      <c r="EM2" s="507"/>
      <c r="EN2" s="507"/>
      <c r="EO2" s="507"/>
      <c r="EP2" s="507"/>
      <c r="EQ2" s="507"/>
      <c r="ER2" s="507"/>
      <c r="ES2" s="507"/>
      <c r="ET2" s="507"/>
      <c r="EU2" s="507"/>
      <c r="EV2" s="507"/>
      <c r="EW2" s="507"/>
      <c r="EX2" s="507"/>
      <c r="EY2" s="507"/>
      <c r="EZ2" s="507"/>
      <c r="FA2" s="507"/>
      <c r="FB2" s="507"/>
      <c r="FC2" s="507"/>
      <c r="FD2" s="507"/>
      <c r="FE2" s="507" t="s">
        <v>156</v>
      </c>
      <c r="FF2" s="507"/>
      <c r="FG2" s="507"/>
      <c r="FH2" s="507"/>
      <c r="FI2" s="507"/>
      <c r="FJ2" s="507"/>
      <c r="FK2" s="507"/>
      <c r="FL2" s="507"/>
      <c r="FM2" s="507"/>
      <c r="FN2" s="507"/>
      <c r="FO2" s="507"/>
      <c r="FP2" s="507"/>
      <c r="FQ2" s="507"/>
      <c r="FR2" s="507"/>
      <c r="FS2" s="507"/>
      <c r="FT2" s="507"/>
      <c r="FU2" s="507"/>
      <c r="FV2" s="507"/>
      <c r="FW2" s="507"/>
      <c r="FX2" s="507"/>
      <c r="FY2" s="507" t="s">
        <v>159</v>
      </c>
      <c r="FZ2" s="507"/>
      <c r="GA2" s="507"/>
      <c r="GB2" s="507"/>
      <c r="GC2" s="507"/>
      <c r="GD2" s="507"/>
      <c r="GE2" s="507"/>
      <c r="GF2" s="507"/>
      <c r="GG2" s="507"/>
      <c r="GH2" s="507"/>
      <c r="GI2" s="507"/>
      <c r="GJ2" s="507"/>
      <c r="GK2" s="507"/>
      <c r="GL2" s="507"/>
      <c r="GM2" s="507"/>
      <c r="GN2" s="507"/>
      <c r="GO2" s="507"/>
      <c r="GP2" s="507"/>
      <c r="GQ2" s="507"/>
      <c r="GR2" s="507"/>
      <c r="GS2" s="507" t="s">
        <v>160</v>
      </c>
      <c r="GT2" s="507"/>
      <c r="GU2" s="507"/>
      <c r="GV2" s="507"/>
      <c r="GW2" s="507"/>
      <c r="GX2" s="507"/>
      <c r="GY2" s="507"/>
      <c r="GZ2" s="507"/>
      <c r="HA2" s="507"/>
      <c r="HB2" s="507"/>
      <c r="HC2" s="507"/>
      <c r="HD2" s="507"/>
      <c r="HE2" s="507"/>
      <c r="HF2" s="507"/>
      <c r="HG2" s="507"/>
      <c r="HH2" s="507"/>
      <c r="HI2" s="507"/>
      <c r="HJ2" s="507"/>
      <c r="HK2" s="507"/>
      <c r="HL2" s="507"/>
      <c r="HM2" s="507" t="s">
        <v>161</v>
      </c>
      <c r="HN2" s="507"/>
      <c r="HO2" s="507"/>
      <c r="HP2" s="507"/>
      <c r="HQ2" s="507"/>
      <c r="HR2" s="507"/>
      <c r="HS2" s="507"/>
      <c r="HT2" s="507"/>
      <c r="HU2" s="507"/>
      <c r="HV2" s="507"/>
      <c r="HW2" s="507"/>
      <c r="HX2" s="507"/>
      <c r="HY2" s="507"/>
      <c r="HZ2" s="507"/>
      <c r="IA2" s="507"/>
      <c r="IB2" s="507"/>
      <c r="IC2" s="507"/>
      <c r="ID2" s="507"/>
      <c r="IE2" s="507"/>
      <c r="IF2" s="507"/>
    </row>
    <row r="3" spans="1:240" ht="12.75">
      <c r="A3" s="506" t="s">
        <v>182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 t="s">
        <v>182</v>
      </c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 t="s">
        <v>226</v>
      </c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 t="s">
        <v>182</v>
      </c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 t="s">
        <v>128</v>
      </c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 t="s">
        <v>182</v>
      </c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6"/>
      <c r="DJ3" s="506"/>
      <c r="DK3" s="506"/>
      <c r="DL3" s="506"/>
      <c r="DM3" s="506"/>
      <c r="DN3" s="506"/>
      <c r="DO3" s="506"/>
      <c r="DP3" s="506"/>
      <c r="DQ3" s="506" t="s">
        <v>182</v>
      </c>
      <c r="DR3" s="506"/>
      <c r="DS3" s="506"/>
      <c r="DT3" s="506"/>
      <c r="DU3" s="506"/>
      <c r="DV3" s="506"/>
      <c r="DW3" s="506"/>
      <c r="DX3" s="506"/>
      <c r="DY3" s="506"/>
      <c r="DZ3" s="506"/>
      <c r="EA3" s="506"/>
      <c r="EB3" s="506"/>
      <c r="EC3" s="506"/>
      <c r="ED3" s="506"/>
      <c r="EE3" s="506"/>
      <c r="EF3" s="506"/>
      <c r="EG3" s="506"/>
      <c r="EH3" s="506"/>
      <c r="EI3" s="506"/>
      <c r="EJ3" s="506"/>
      <c r="EK3" s="506" t="s">
        <v>128</v>
      </c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 t="s">
        <v>128</v>
      </c>
      <c r="FF3" s="506"/>
      <c r="FG3" s="506"/>
      <c r="FH3" s="506"/>
      <c r="FI3" s="506"/>
      <c r="FJ3" s="506"/>
      <c r="FK3" s="506"/>
      <c r="FL3" s="506"/>
      <c r="FM3" s="506"/>
      <c r="FN3" s="506"/>
      <c r="FO3" s="506"/>
      <c r="FP3" s="506"/>
      <c r="FQ3" s="506"/>
      <c r="FR3" s="506"/>
      <c r="FS3" s="506"/>
      <c r="FT3" s="506"/>
      <c r="FU3" s="506"/>
      <c r="FV3" s="506"/>
      <c r="FW3" s="506"/>
      <c r="FX3" s="506"/>
      <c r="FY3" s="506" t="s">
        <v>128</v>
      </c>
      <c r="FZ3" s="506"/>
      <c r="GA3" s="506"/>
      <c r="GB3" s="506"/>
      <c r="GC3" s="506"/>
      <c r="GD3" s="506"/>
      <c r="GE3" s="506"/>
      <c r="GF3" s="506"/>
      <c r="GG3" s="506"/>
      <c r="GH3" s="506"/>
      <c r="GI3" s="506"/>
      <c r="GJ3" s="506"/>
      <c r="GK3" s="506"/>
      <c r="GL3" s="506"/>
      <c r="GM3" s="506"/>
      <c r="GN3" s="506"/>
      <c r="GO3" s="506"/>
      <c r="GP3" s="506"/>
      <c r="GQ3" s="506"/>
      <c r="GR3" s="506"/>
      <c r="GS3" s="506" t="s">
        <v>128</v>
      </c>
      <c r="GT3" s="506"/>
      <c r="GU3" s="506"/>
      <c r="GV3" s="506"/>
      <c r="GW3" s="506"/>
      <c r="GX3" s="506"/>
      <c r="GY3" s="506"/>
      <c r="GZ3" s="506"/>
      <c r="HA3" s="506"/>
      <c r="HB3" s="506"/>
      <c r="HC3" s="506"/>
      <c r="HD3" s="506"/>
      <c r="HE3" s="506"/>
      <c r="HF3" s="506"/>
      <c r="HG3" s="506"/>
      <c r="HH3" s="506"/>
      <c r="HI3" s="506"/>
      <c r="HJ3" s="506"/>
      <c r="HK3" s="506"/>
      <c r="HL3" s="506"/>
      <c r="HM3" s="506" t="s">
        <v>128</v>
      </c>
      <c r="HN3" s="506"/>
      <c r="HO3" s="506"/>
      <c r="HP3" s="506"/>
      <c r="HQ3" s="506"/>
      <c r="HR3" s="506"/>
      <c r="HS3" s="506"/>
      <c r="HT3" s="506"/>
      <c r="HU3" s="506"/>
      <c r="HV3" s="506"/>
      <c r="HW3" s="506"/>
      <c r="HX3" s="506"/>
      <c r="HY3" s="506"/>
      <c r="HZ3" s="506"/>
      <c r="IA3" s="506"/>
      <c r="IB3" s="506"/>
      <c r="IC3" s="506"/>
      <c r="ID3" s="506"/>
      <c r="IE3" s="506"/>
      <c r="IF3" s="506"/>
    </row>
    <row r="4" spans="1:240" ht="12.75">
      <c r="A4" s="228"/>
      <c r="B4" s="228"/>
      <c r="U4" s="228"/>
      <c r="V4" s="228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228"/>
      <c r="AP4" s="228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228"/>
      <c r="BJ4" s="228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228"/>
      <c r="CD4" s="228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228"/>
      <c r="CX4" s="228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228"/>
      <c r="DR4" s="228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228"/>
      <c r="EL4" s="228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228"/>
      <c r="FF4" s="228"/>
      <c r="FG4" s="171"/>
      <c r="FH4" s="171"/>
      <c r="FI4" s="171"/>
      <c r="FJ4" s="171"/>
      <c r="FK4" s="171"/>
      <c r="FL4" s="171"/>
      <c r="FM4" s="171"/>
      <c r="FN4" s="171"/>
      <c r="FO4" s="171"/>
      <c r="FP4" s="171"/>
      <c r="FQ4" s="171"/>
      <c r="FR4" s="171"/>
      <c r="FS4" s="171"/>
      <c r="FT4" s="171"/>
      <c r="FU4" s="171"/>
      <c r="FV4" s="171"/>
      <c r="FW4" s="171"/>
      <c r="FX4" s="171"/>
      <c r="FY4" s="228"/>
      <c r="FZ4" s="228"/>
      <c r="GA4" s="171"/>
      <c r="GB4" s="171"/>
      <c r="GC4" s="171"/>
      <c r="GD4" s="171"/>
      <c r="GE4" s="171"/>
      <c r="GF4" s="171"/>
      <c r="GG4" s="171"/>
      <c r="GH4" s="171"/>
      <c r="GI4" s="171"/>
      <c r="GJ4" s="171"/>
      <c r="GK4" s="171"/>
      <c r="GL4" s="171"/>
      <c r="GM4" s="171"/>
      <c r="GN4" s="171"/>
      <c r="GO4" s="171"/>
      <c r="GP4" s="171"/>
      <c r="GQ4" s="171"/>
      <c r="GR4" s="171"/>
      <c r="GS4" s="228"/>
      <c r="GT4" s="228"/>
      <c r="GU4" s="171"/>
      <c r="GV4" s="171"/>
      <c r="GW4" s="171"/>
      <c r="GX4" s="171"/>
      <c r="GY4" s="171"/>
      <c r="GZ4" s="171"/>
      <c r="HA4" s="171"/>
      <c r="HB4" s="171"/>
      <c r="HC4" s="171"/>
      <c r="HD4" s="171"/>
      <c r="HE4" s="171"/>
      <c r="HF4" s="171"/>
      <c r="HG4" s="171"/>
      <c r="HH4" s="171"/>
      <c r="HI4" s="171"/>
      <c r="HJ4" s="171"/>
      <c r="HK4" s="171"/>
      <c r="HL4" s="171"/>
      <c r="HM4" s="228"/>
      <c r="HN4" s="228"/>
      <c r="HO4" s="171"/>
      <c r="HP4" s="171"/>
      <c r="HQ4" s="171"/>
      <c r="HR4" s="171"/>
      <c r="HS4" s="171"/>
      <c r="HT4" s="171"/>
      <c r="HU4" s="171"/>
      <c r="HV4" s="171"/>
      <c r="HW4" s="171"/>
      <c r="HX4" s="171"/>
      <c r="HY4" s="171"/>
      <c r="HZ4" s="171"/>
      <c r="IA4" s="171"/>
      <c r="IB4" s="171"/>
      <c r="IC4" s="171"/>
      <c r="ID4" s="171"/>
      <c r="IE4" s="171"/>
      <c r="IF4" s="171"/>
    </row>
    <row r="5" spans="1:240" ht="12.75">
      <c r="A5" s="229" t="s">
        <v>165</v>
      </c>
      <c r="B5" s="228"/>
      <c r="H5" s="301" t="s">
        <v>170</v>
      </c>
      <c r="U5" s="229" t="s">
        <v>165</v>
      </c>
      <c r="V5" s="228"/>
      <c r="W5" s="171"/>
      <c r="X5" s="171"/>
      <c r="Y5" s="171"/>
      <c r="Z5" s="171"/>
      <c r="AA5" s="171"/>
      <c r="AB5" s="301" t="s">
        <v>170</v>
      </c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229" t="s">
        <v>165</v>
      </c>
      <c r="AP5" s="228"/>
      <c r="AQ5" s="171"/>
      <c r="AR5" s="171"/>
      <c r="AS5" s="171"/>
      <c r="AT5" s="171"/>
      <c r="AU5" s="171"/>
      <c r="AV5" s="301" t="s">
        <v>170</v>
      </c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229" t="s">
        <v>165</v>
      </c>
      <c r="BJ5" s="228"/>
      <c r="BK5" s="171"/>
      <c r="BL5" s="171"/>
      <c r="BM5" s="171"/>
      <c r="BN5" s="171"/>
      <c r="BO5" s="171"/>
      <c r="BP5" s="301" t="s">
        <v>170</v>
      </c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229" t="s">
        <v>165</v>
      </c>
      <c r="CD5" s="228"/>
      <c r="CE5" s="171"/>
      <c r="CF5" s="171"/>
      <c r="CG5" s="171"/>
      <c r="CH5" s="171"/>
      <c r="CI5" s="171"/>
      <c r="CJ5" s="301" t="s">
        <v>170</v>
      </c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229" t="s">
        <v>165</v>
      </c>
      <c r="CX5" s="228"/>
      <c r="CY5" s="171"/>
      <c r="CZ5" s="171"/>
      <c r="DA5" s="171"/>
      <c r="DB5" s="171"/>
      <c r="DC5" s="171"/>
      <c r="DD5" s="301" t="s">
        <v>170</v>
      </c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229" t="s">
        <v>165</v>
      </c>
      <c r="DR5" s="228"/>
      <c r="DS5" s="171"/>
      <c r="DT5" s="171"/>
      <c r="DU5" s="171"/>
      <c r="DV5" s="171"/>
      <c r="DW5" s="171"/>
      <c r="DX5" s="301" t="s">
        <v>170</v>
      </c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229" t="s">
        <v>165</v>
      </c>
      <c r="EL5" s="228"/>
      <c r="EM5" s="171"/>
      <c r="EN5" s="171"/>
      <c r="EO5" s="171"/>
      <c r="EP5" s="171"/>
      <c r="EQ5" s="171"/>
      <c r="ER5" s="301" t="s">
        <v>170</v>
      </c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229" t="s">
        <v>165</v>
      </c>
      <c r="FF5" s="228"/>
      <c r="FG5" s="171"/>
      <c r="FH5" s="171"/>
      <c r="FI5" s="171"/>
      <c r="FJ5" s="171"/>
      <c r="FK5" s="171"/>
      <c r="FL5" s="301" t="s">
        <v>170</v>
      </c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229" t="s">
        <v>165</v>
      </c>
      <c r="FZ5" s="228"/>
      <c r="GA5" s="171"/>
      <c r="GB5" s="171"/>
      <c r="GC5" s="171"/>
      <c r="GD5" s="171"/>
      <c r="GE5" s="171"/>
      <c r="GF5" s="301" t="s">
        <v>170</v>
      </c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229" t="s">
        <v>165</v>
      </c>
      <c r="GT5" s="228"/>
      <c r="GU5" s="171"/>
      <c r="GV5" s="171"/>
      <c r="GW5" s="171"/>
      <c r="GX5" s="171"/>
      <c r="GY5" s="171"/>
      <c r="GZ5" s="301" t="s">
        <v>170</v>
      </c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229" t="s">
        <v>165</v>
      </c>
      <c r="HN5" s="228"/>
      <c r="HO5" s="171"/>
      <c r="HP5" s="171"/>
      <c r="HQ5" s="171"/>
      <c r="HR5" s="171"/>
      <c r="HS5" s="171"/>
      <c r="HT5" s="301" t="s">
        <v>170</v>
      </c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</row>
    <row r="6" spans="1:240" ht="12.75">
      <c r="A6" s="229" t="s">
        <v>166</v>
      </c>
      <c r="B6" s="228"/>
      <c r="H6" s="301" t="s">
        <v>171</v>
      </c>
      <c r="U6" s="229" t="s">
        <v>166</v>
      </c>
      <c r="V6" s="228"/>
      <c r="W6" s="171"/>
      <c r="X6" s="171"/>
      <c r="Y6" s="171"/>
      <c r="Z6" s="171"/>
      <c r="AA6" s="171"/>
      <c r="AB6" s="301" t="s">
        <v>171</v>
      </c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229" t="s">
        <v>166</v>
      </c>
      <c r="AP6" s="228"/>
      <c r="AQ6" s="171"/>
      <c r="AR6" s="171"/>
      <c r="AS6" s="171"/>
      <c r="AT6" s="171"/>
      <c r="AU6" s="171"/>
      <c r="AV6" s="301" t="s">
        <v>171</v>
      </c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229" t="s">
        <v>166</v>
      </c>
      <c r="BJ6" s="228"/>
      <c r="BK6" s="171"/>
      <c r="BL6" s="171"/>
      <c r="BM6" s="171"/>
      <c r="BN6" s="171"/>
      <c r="BO6" s="171"/>
      <c r="BP6" s="301" t="s">
        <v>171</v>
      </c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229" t="s">
        <v>166</v>
      </c>
      <c r="CD6" s="228"/>
      <c r="CE6" s="171"/>
      <c r="CF6" s="171"/>
      <c r="CG6" s="171"/>
      <c r="CH6" s="171"/>
      <c r="CI6" s="171"/>
      <c r="CJ6" s="301" t="s">
        <v>171</v>
      </c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229" t="s">
        <v>166</v>
      </c>
      <c r="CX6" s="228"/>
      <c r="CY6" s="171"/>
      <c r="CZ6" s="171"/>
      <c r="DA6" s="171"/>
      <c r="DB6" s="171"/>
      <c r="DC6" s="171"/>
      <c r="DD6" s="301" t="s">
        <v>171</v>
      </c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229" t="s">
        <v>166</v>
      </c>
      <c r="DR6" s="228"/>
      <c r="DS6" s="171"/>
      <c r="DT6" s="171"/>
      <c r="DU6" s="171"/>
      <c r="DV6" s="171"/>
      <c r="DW6" s="171"/>
      <c r="DX6" s="301" t="s">
        <v>171</v>
      </c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229" t="s">
        <v>166</v>
      </c>
      <c r="EL6" s="228"/>
      <c r="EM6" s="171"/>
      <c r="EN6" s="171"/>
      <c r="EO6" s="171"/>
      <c r="EP6" s="171"/>
      <c r="EQ6" s="171"/>
      <c r="ER6" s="301" t="s">
        <v>171</v>
      </c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229" t="s">
        <v>166</v>
      </c>
      <c r="FF6" s="228"/>
      <c r="FG6" s="171"/>
      <c r="FH6" s="171"/>
      <c r="FI6" s="171"/>
      <c r="FJ6" s="171"/>
      <c r="FK6" s="171"/>
      <c r="FL6" s="301" t="s">
        <v>171</v>
      </c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229" t="s">
        <v>166</v>
      </c>
      <c r="FZ6" s="228"/>
      <c r="GA6" s="171"/>
      <c r="GB6" s="171"/>
      <c r="GC6" s="171"/>
      <c r="GD6" s="171"/>
      <c r="GE6" s="171"/>
      <c r="GF6" s="301" t="s">
        <v>171</v>
      </c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229" t="s">
        <v>166</v>
      </c>
      <c r="GT6" s="228"/>
      <c r="GU6" s="171"/>
      <c r="GV6" s="171"/>
      <c r="GW6" s="171"/>
      <c r="GX6" s="171"/>
      <c r="GY6" s="171"/>
      <c r="GZ6" s="301" t="s">
        <v>171</v>
      </c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229" t="s">
        <v>166</v>
      </c>
      <c r="HN6" s="228"/>
      <c r="HO6" s="171"/>
      <c r="HP6" s="171"/>
      <c r="HQ6" s="171"/>
      <c r="HR6" s="171"/>
      <c r="HS6" s="171"/>
      <c r="HT6" s="301" t="s">
        <v>171</v>
      </c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</row>
    <row r="7" spans="2:240" ht="6.75" customHeight="1">
      <c r="B7" s="228"/>
      <c r="D7" s="229"/>
      <c r="V7" s="228"/>
      <c r="W7" s="171"/>
      <c r="X7" s="229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P7" s="228"/>
      <c r="AQ7" s="171"/>
      <c r="AR7" s="229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J7" s="228"/>
      <c r="BK7" s="171"/>
      <c r="BL7" s="229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D7" s="228"/>
      <c r="CE7" s="171"/>
      <c r="CF7" s="229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X7" s="228"/>
      <c r="CY7" s="171"/>
      <c r="CZ7" s="229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R7" s="228"/>
      <c r="DS7" s="171"/>
      <c r="DT7" s="229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L7" s="228"/>
      <c r="EM7" s="171"/>
      <c r="EN7" s="229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F7" s="228"/>
      <c r="FG7" s="171"/>
      <c r="FH7" s="229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Z7" s="228"/>
      <c r="GA7" s="171"/>
      <c r="GB7" s="229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T7" s="228"/>
      <c r="GU7" s="171"/>
      <c r="GV7" s="229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N7" s="228"/>
      <c r="HO7" s="171"/>
      <c r="HP7" s="229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</row>
    <row r="8" spans="1:240" ht="12.75">
      <c r="A8" s="507" t="s">
        <v>153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 t="s">
        <v>153</v>
      </c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 t="s">
        <v>153</v>
      </c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 t="s">
        <v>153</v>
      </c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7"/>
      <c r="BY8" s="507"/>
      <c r="BZ8" s="507"/>
      <c r="CA8" s="507"/>
      <c r="CB8" s="507"/>
      <c r="CC8" s="507" t="s">
        <v>153</v>
      </c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 t="s">
        <v>153</v>
      </c>
      <c r="CX8" s="507"/>
      <c r="CY8" s="507"/>
      <c r="CZ8" s="507"/>
      <c r="DA8" s="507"/>
      <c r="DB8" s="507"/>
      <c r="DC8" s="507"/>
      <c r="DD8" s="507"/>
      <c r="DE8" s="507"/>
      <c r="DF8" s="507"/>
      <c r="DG8" s="507"/>
      <c r="DH8" s="507"/>
      <c r="DI8" s="507"/>
      <c r="DJ8" s="507"/>
      <c r="DK8" s="507"/>
      <c r="DL8" s="507"/>
      <c r="DM8" s="507"/>
      <c r="DN8" s="507"/>
      <c r="DO8" s="507"/>
      <c r="DP8" s="507"/>
      <c r="DQ8" s="507" t="s">
        <v>153</v>
      </c>
      <c r="DR8" s="507"/>
      <c r="DS8" s="507"/>
      <c r="DT8" s="507"/>
      <c r="DU8" s="507"/>
      <c r="DV8" s="507"/>
      <c r="DW8" s="507"/>
      <c r="DX8" s="507"/>
      <c r="DY8" s="507"/>
      <c r="DZ8" s="507"/>
      <c r="EA8" s="507"/>
      <c r="EB8" s="507"/>
      <c r="EC8" s="507"/>
      <c r="ED8" s="507"/>
      <c r="EE8" s="507"/>
      <c r="EF8" s="507"/>
      <c r="EG8" s="507"/>
      <c r="EH8" s="507"/>
      <c r="EI8" s="507"/>
      <c r="EJ8" s="507"/>
      <c r="EK8" s="507" t="s">
        <v>153</v>
      </c>
      <c r="EL8" s="507"/>
      <c r="EM8" s="507"/>
      <c r="EN8" s="507"/>
      <c r="EO8" s="507"/>
      <c r="EP8" s="507"/>
      <c r="EQ8" s="507"/>
      <c r="ER8" s="507"/>
      <c r="ES8" s="507"/>
      <c r="ET8" s="507"/>
      <c r="EU8" s="507"/>
      <c r="EV8" s="507"/>
      <c r="EW8" s="507"/>
      <c r="EX8" s="507"/>
      <c r="EY8" s="507"/>
      <c r="EZ8" s="507"/>
      <c r="FA8" s="507"/>
      <c r="FB8" s="507"/>
      <c r="FC8" s="507"/>
      <c r="FD8" s="507"/>
      <c r="FE8" s="507" t="s">
        <v>153</v>
      </c>
      <c r="FF8" s="507"/>
      <c r="FG8" s="507"/>
      <c r="FH8" s="507"/>
      <c r="FI8" s="507"/>
      <c r="FJ8" s="507"/>
      <c r="FK8" s="507"/>
      <c r="FL8" s="507"/>
      <c r="FM8" s="507"/>
      <c r="FN8" s="507"/>
      <c r="FO8" s="507"/>
      <c r="FP8" s="507"/>
      <c r="FQ8" s="507"/>
      <c r="FR8" s="507"/>
      <c r="FS8" s="507"/>
      <c r="FT8" s="507"/>
      <c r="FU8" s="507"/>
      <c r="FV8" s="507"/>
      <c r="FW8" s="507"/>
      <c r="FX8" s="507"/>
      <c r="FY8" s="507" t="s">
        <v>153</v>
      </c>
      <c r="FZ8" s="507"/>
      <c r="GA8" s="507"/>
      <c r="GB8" s="507"/>
      <c r="GC8" s="507"/>
      <c r="GD8" s="507"/>
      <c r="GE8" s="507"/>
      <c r="GF8" s="507"/>
      <c r="GG8" s="507"/>
      <c r="GH8" s="507"/>
      <c r="GI8" s="507"/>
      <c r="GJ8" s="507"/>
      <c r="GK8" s="507"/>
      <c r="GL8" s="507"/>
      <c r="GM8" s="507"/>
      <c r="GN8" s="507"/>
      <c r="GO8" s="507"/>
      <c r="GP8" s="507"/>
      <c r="GQ8" s="507"/>
      <c r="GR8" s="507"/>
      <c r="GS8" s="507" t="s">
        <v>153</v>
      </c>
      <c r="GT8" s="507"/>
      <c r="GU8" s="507"/>
      <c r="GV8" s="507"/>
      <c r="GW8" s="507"/>
      <c r="GX8" s="507"/>
      <c r="GY8" s="507"/>
      <c r="GZ8" s="507"/>
      <c r="HA8" s="507"/>
      <c r="HB8" s="507"/>
      <c r="HC8" s="507"/>
      <c r="HD8" s="507"/>
      <c r="HE8" s="507"/>
      <c r="HF8" s="507"/>
      <c r="HG8" s="507"/>
      <c r="HH8" s="507"/>
      <c r="HI8" s="507"/>
      <c r="HJ8" s="507"/>
      <c r="HK8" s="507"/>
      <c r="HL8" s="507"/>
      <c r="HM8" s="507" t="s">
        <v>153</v>
      </c>
      <c r="HN8" s="507"/>
      <c r="HO8" s="507"/>
      <c r="HP8" s="507"/>
      <c r="HQ8" s="507"/>
      <c r="HR8" s="507"/>
      <c r="HS8" s="507"/>
      <c r="HT8" s="507"/>
      <c r="HU8" s="507"/>
      <c r="HV8" s="507"/>
      <c r="HW8" s="507"/>
      <c r="HX8" s="507"/>
      <c r="HY8" s="507"/>
      <c r="HZ8" s="507"/>
      <c r="IA8" s="507"/>
      <c r="IB8" s="507"/>
      <c r="IC8" s="507"/>
      <c r="ID8" s="507"/>
      <c r="IE8" s="507"/>
      <c r="IF8" s="507"/>
    </row>
    <row r="9" spans="1:2" ht="7.5" customHeight="1" thickBot="1">
      <c r="A9" s="228"/>
      <c r="B9" s="228"/>
    </row>
    <row r="10" spans="1:240" ht="13.5" thickBot="1">
      <c r="A10" s="228"/>
      <c r="B10" s="228"/>
      <c r="C10" s="493" t="s">
        <v>136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494"/>
      <c r="U10" s="228"/>
      <c r="V10" s="228"/>
      <c r="W10" s="493" t="s">
        <v>137</v>
      </c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494"/>
      <c r="AK10" s="171"/>
      <c r="AL10" s="171"/>
      <c r="AM10" s="171"/>
      <c r="AN10" s="171"/>
      <c r="AO10" s="228"/>
      <c r="AP10" s="228"/>
      <c r="AQ10" s="493" t="s">
        <v>138</v>
      </c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494"/>
      <c r="BE10" s="171"/>
      <c r="BF10" s="171"/>
      <c r="BG10" s="171"/>
      <c r="BH10" s="171"/>
      <c r="BI10" s="228"/>
      <c r="BJ10" s="228"/>
      <c r="BK10" s="493" t="s">
        <v>139</v>
      </c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494"/>
      <c r="BY10" s="171"/>
      <c r="BZ10" s="171"/>
      <c r="CA10" s="171"/>
      <c r="CB10" s="171"/>
      <c r="CC10" s="228"/>
      <c r="CD10" s="228"/>
      <c r="CE10" s="493" t="s">
        <v>140</v>
      </c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494"/>
      <c r="CS10" s="171"/>
      <c r="CT10" s="171"/>
      <c r="CU10" s="171"/>
      <c r="CV10" s="171"/>
      <c r="CW10" s="228"/>
      <c r="CX10" s="228"/>
      <c r="CY10" s="493" t="s">
        <v>141</v>
      </c>
      <c r="CZ10" s="501"/>
      <c r="DA10" s="501"/>
      <c r="DB10" s="501"/>
      <c r="DC10" s="501"/>
      <c r="DD10" s="501"/>
      <c r="DE10" s="501"/>
      <c r="DF10" s="501"/>
      <c r="DG10" s="501"/>
      <c r="DH10" s="501"/>
      <c r="DI10" s="501"/>
      <c r="DJ10" s="501"/>
      <c r="DK10" s="501"/>
      <c r="DL10" s="494"/>
      <c r="DM10" s="171"/>
      <c r="DN10" s="171"/>
      <c r="DO10" s="171"/>
      <c r="DP10" s="171"/>
      <c r="DQ10" s="228"/>
      <c r="DR10" s="228"/>
      <c r="DS10" s="493" t="s">
        <v>142</v>
      </c>
      <c r="DT10" s="501"/>
      <c r="DU10" s="501"/>
      <c r="DV10" s="501"/>
      <c r="DW10" s="501"/>
      <c r="DX10" s="501"/>
      <c r="DY10" s="501"/>
      <c r="DZ10" s="501"/>
      <c r="EA10" s="501"/>
      <c r="EB10" s="501"/>
      <c r="EC10" s="501"/>
      <c r="ED10" s="501"/>
      <c r="EE10" s="501"/>
      <c r="EF10" s="494"/>
      <c r="EG10" s="171"/>
      <c r="EH10" s="171"/>
      <c r="EI10" s="171"/>
      <c r="EJ10" s="171"/>
      <c r="EK10" s="228"/>
      <c r="EL10" s="228"/>
      <c r="EM10" s="493" t="s">
        <v>143</v>
      </c>
      <c r="EN10" s="501"/>
      <c r="EO10" s="501"/>
      <c r="EP10" s="501"/>
      <c r="EQ10" s="501"/>
      <c r="ER10" s="501"/>
      <c r="ES10" s="501"/>
      <c r="ET10" s="501"/>
      <c r="EU10" s="501"/>
      <c r="EV10" s="501"/>
      <c r="EW10" s="501"/>
      <c r="EX10" s="501"/>
      <c r="EY10" s="501"/>
      <c r="EZ10" s="494"/>
      <c r="FA10" s="171"/>
      <c r="FB10" s="171"/>
      <c r="FC10" s="171"/>
      <c r="FD10" s="171"/>
      <c r="FE10" s="228"/>
      <c r="FF10" s="228"/>
      <c r="FG10" s="493" t="s">
        <v>144</v>
      </c>
      <c r="FH10" s="501"/>
      <c r="FI10" s="501"/>
      <c r="FJ10" s="501"/>
      <c r="FK10" s="501"/>
      <c r="FL10" s="501"/>
      <c r="FM10" s="501"/>
      <c r="FN10" s="501"/>
      <c r="FO10" s="501"/>
      <c r="FP10" s="501"/>
      <c r="FQ10" s="501"/>
      <c r="FR10" s="501"/>
      <c r="FS10" s="501"/>
      <c r="FT10" s="494"/>
      <c r="FU10" s="171"/>
      <c r="FV10" s="171"/>
      <c r="FW10" s="171"/>
      <c r="FX10" s="171"/>
      <c r="FY10" s="228"/>
      <c r="FZ10" s="228"/>
      <c r="GA10" s="493" t="s">
        <v>145</v>
      </c>
      <c r="GB10" s="501"/>
      <c r="GC10" s="501"/>
      <c r="GD10" s="501"/>
      <c r="GE10" s="501"/>
      <c r="GF10" s="501"/>
      <c r="GG10" s="501"/>
      <c r="GH10" s="501"/>
      <c r="GI10" s="501"/>
      <c r="GJ10" s="501"/>
      <c r="GK10" s="501"/>
      <c r="GL10" s="501"/>
      <c r="GM10" s="501"/>
      <c r="GN10" s="494"/>
      <c r="GO10" s="171"/>
      <c r="GP10" s="171"/>
      <c r="GQ10" s="171"/>
      <c r="GR10" s="171"/>
      <c r="GS10" s="228"/>
      <c r="GT10" s="228"/>
      <c r="GU10" s="493" t="s">
        <v>146</v>
      </c>
      <c r="GV10" s="501"/>
      <c r="GW10" s="501"/>
      <c r="GX10" s="501"/>
      <c r="GY10" s="501"/>
      <c r="GZ10" s="501"/>
      <c r="HA10" s="501"/>
      <c r="HB10" s="501"/>
      <c r="HC10" s="501"/>
      <c r="HD10" s="501"/>
      <c r="HE10" s="501"/>
      <c r="HF10" s="501"/>
      <c r="HG10" s="501"/>
      <c r="HH10" s="494"/>
      <c r="HI10" s="171"/>
      <c r="HJ10" s="171"/>
      <c r="HK10" s="171"/>
      <c r="HL10" s="171"/>
      <c r="HM10" s="228"/>
      <c r="HN10" s="228"/>
      <c r="HO10" s="493" t="s">
        <v>147</v>
      </c>
      <c r="HP10" s="501"/>
      <c r="HQ10" s="501"/>
      <c r="HR10" s="501"/>
      <c r="HS10" s="501"/>
      <c r="HT10" s="501"/>
      <c r="HU10" s="501"/>
      <c r="HV10" s="501"/>
      <c r="HW10" s="501"/>
      <c r="HX10" s="501"/>
      <c r="HY10" s="501"/>
      <c r="HZ10" s="501"/>
      <c r="IA10" s="501"/>
      <c r="IB10" s="494"/>
      <c r="IC10" s="171"/>
      <c r="ID10" s="171"/>
      <c r="IE10" s="171"/>
      <c r="IF10" s="171"/>
    </row>
    <row r="11" spans="1:240" ht="13.5" thickBot="1">
      <c r="A11" s="229"/>
      <c r="B11" s="228"/>
      <c r="C11" s="493" t="s">
        <v>197</v>
      </c>
      <c r="D11" s="501"/>
      <c r="E11" s="501"/>
      <c r="F11" s="494"/>
      <c r="G11" s="502" t="s">
        <v>196</v>
      </c>
      <c r="H11" s="501"/>
      <c r="I11" s="494"/>
      <c r="J11" s="493" t="s">
        <v>204</v>
      </c>
      <c r="K11" s="501"/>
      <c r="L11" s="501"/>
      <c r="M11" s="494"/>
      <c r="N11" s="493" t="s">
        <v>198</v>
      </c>
      <c r="O11" s="501"/>
      <c r="P11" s="494"/>
      <c r="Q11" s="493" t="s">
        <v>205</v>
      </c>
      <c r="R11" s="501"/>
      <c r="S11" s="501"/>
      <c r="T11" s="494"/>
      <c r="U11" s="229"/>
      <c r="V11" s="228"/>
      <c r="W11" s="493" t="s">
        <v>197</v>
      </c>
      <c r="X11" s="501"/>
      <c r="Y11" s="501"/>
      <c r="Z11" s="494"/>
      <c r="AA11" s="493" t="s">
        <v>196</v>
      </c>
      <c r="AB11" s="501"/>
      <c r="AC11" s="494"/>
      <c r="AD11" s="493" t="s">
        <v>204</v>
      </c>
      <c r="AE11" s="501"/>
      <c r="AF11" s="501"/>
      <c r="AG11" s="494"/>
      <c r="AH11" s="502" t="s">
        <v>196</v>
      </c>
      <c r="AI11" s="501"/>
      <c r="AJ11" s="494"/>
      <c r="AK11" s="493" t="s">
        <v>210</v>
      </c>
      <c r="AL11" s="501"/>
      <c r="AM11" s="501"/>
      <c r="AN11" s="494"/>
      <c r="AO11" s="229"/>
      <c r="AP11" s="228"/>
      <c r="AQ11" s="502" t="s">
        <v>197</v>
      </c>
      <c r="AR11" s="501"/>
      <c r="AS11" s="501"/>
      <c r="AT11" s="494"/>
      <c r="AU11" s="493" t="s">
        <v>111</v>
      </c>
      <c r="AV11" s="501"/>
      <c r="AW11" s="494"/>
      <c r="AX11" s="493" t="s">
        <v>204</v>
      </c>
      <c r="AY11" s="501"/>
      <c r="AZ11" s="501"/>
      <c r="BA11" s="494"/>
      <c r="BB11" s="503" t="s">
        <v>198</v>
      </c>
      <c r="BC11" s="504"/>
      <c r="BD11" s="505"/>
      <c r="BE11" s="493" t="s">
        <v>205</v>
      </c>
      <c r="BF11" s="501"/>
      <c r="BG11" s="501"/>
      <c r="BH11" s="494"/>
      <c r="BI11" s="229"/>
      <c r="BJ11" s="228"/>
      <c r="BK11" s="493" t="s">
        <v>197</v>
      </c>
      <c r="BL11" s="501"/>
      <c r="BM11" s="501"/>
      <c r="BN11" s="494"/>
      <c r="BO11" s="493" t="s">
        <v>230</v>
      </c>
      <c r="BP11" s="501"/>
      <c r="BQ11" s="494"/>
      <c r="BR11" s="493" t="s">
        <v>204</v>
      </c>
      <c r="BS11" s="501"/>
      <c r="BT11" s="501"/>
      <c r="BU11" s="494"/>
      <c r="BV11" s="503" t="s">
        <v>231</v>
      </c>
      <c r="BW11" s="504"/>
      <c r="BX11" s="505"/>
      <c r="BY11" s="493" t="s">
        <v>205</v>
      </c>
      <c r="BZ11" s="501"/>
      <c r="CA11" s="501"/>
      <c r="CB11" s="494"/>
      <c r="CC11" s="229"/>
      <c r="CD11" s="228"/>
      <c r="CE11" s="502" t="s">
        <v>197</v>
      </c>
      <c r="CF11" s="501"/>
      <c r="CG11" s="501"/>
      <c r="CH11" s="494"/>
      <c r="CI11" s="502" t="s">
        <v>230</v>
      </c>
      <c r="CJ11" s="501"/>
      <c r="CK11" s="494"/>
      <c r="CL11" s="493" t="s">
        <v>232</v>
      </c>
      <c r="CM11" s="501"/>
      <c r="CN11" s="501"/>
      <c r="CO11" s="494"/>
      <c r="CP11" s="493" t="s">
        <v>231</v>
      </c>
      <c r="CQ11" s="501"/>
      <c r="CR11" s="494"/>
      <c r="CS11" s="493" t="s">
        <v>210</v>
      </c>
      <c r="CT11" s="501"/>
      <c r="CU11" s="501"/>
      <c r="CV11" s="494"/>
      <c r="CW11" s="229"/>
      <c r="CX11" s="228"/>
      <c r="CY11" s="502" t="s">
        <v>197</v>
      </c>
      <c r="CZ11" s="501"/>
      <c r="DA11" s="501"/>
      <c r="DB11" s="494"/>
      <c r="DC11" s="502" t="s">
        <v>196</v>
      </c>
      <c r="DD11" s="501"/>
      <c r="DE11" s="494"/>
      <c r="DF11" s="493" t="s">
        <v>204</v>
      </c>
      <c r="DG11" s="501"/>
      <c r="DH11" s="501"/>
      <c r="DI11" s="494"/>
      <c r="DJ11" s="493" t="s">
        <v>239</v>
      </c>
      <c r="DK11" s="501"/>
      <c r="DL11" s="494"/>
      <c r="DM11" s="493" t="s">
        <v>205</v>
      </c>
      <c r="DN11" s="501"/>
      <c r="DO11" s="501"/>
      <c r="DP11" s="494"/>
      <c r="DQ11" s="229"/>
      <c r="DR11" s="228"/>
      <c r="DS11" s="493" t="s">
        <v>197</v>
      </c>
      <c r="DT11" s="501"/>
      <c r="DU11" s="501"/>
      <c r="DV11" s="494"/>
      <c r="DW11" s="493" t="s">
        <v>196</v>
      </c>
      <c r="DX11" s="501"/>
      <c r="DY11" s="494"/>
      <c r="DZ11" s="493" t="s">
        <v>204</v>
      </c>
      <c r="EA11" s="501"/>
      <c r="EB11" s="501"/>
      <c r="EC11" s="494"/>
      <c r="ED11" s="493" t="s">
        <v>263</v>
      </c>
      <c r="EE11" s="501"/>
      <c r="EF11" s="494"/>
      <c r="EG11" s="493" t="s">
        <v>205</v>
      </c>
      <c r="EH11" s="501"/>
      <c r="EI11" s="501"/>
      <c r="EJ11" s="494"/>
      <c r="EK11" s="229"/>
      <c r="EL11" s="228"/>
      <c r="EM11" s="493" t="s">
        <v>197</v>
      </c>
      <c r="EN11" s="501"/>
      <c r="EO11" s="501"/>
      <c r="EP11" s="494"/>
      <c r="EQ11" s="502" t="s">
        <v>196</v>
      </c>
      <c r="ER11" s="501"/>
      <c r="ES11" s="494"/>
      <c r="ET11" s="493" t="s">
        <v>204</v>
      </c>
      <c r="EU11" s="501"/>
      <c r="EV11" s="501"/>
      <c r="EW11" s="494"/>
      <c r="EX11" s="493" t="s">
        <v>198</v>
      </c>
      <c r="EY11" s="501"/>
      <c r="EZ11" s="494"/>
      <c r="FA11" s="493" t="s">
        <v>205</v>
      </c>
      <c r="FB11" s="501"/>
      <c r="FC11" s="501"/>
      <c r="FD11" s="494"/>
      <c r="FE11" s="229"/>
      <c r="FF11" s="228"/>
      <c r="FG11" s="502" t="s">
        <v>197</v>
      </c>
      <c r="FH11" s="501"/>
      <c r="FI11" s="501"/>
      <c r="FJ11" s="494"/>
      <c r="FK11" s="502" t="s">
        <v>196</v>
      </c>
      <c r="FL11" s="501"/>
      <c r="FM11" s="494"/>
      <c r="FN11" s="493" t="s">
        <v>204</v>
      </c>
      <c r="FO11" s="501"/>
      <c r="FP11" s="501"/>
      <c r="FQ11" s="494"/>
      <c r="FR11" s="493" t="s">
        <v>264</v>
      </c>
      <c r="FS11" s="501"/>
      <c r="FT11" s="494"/>
      <c r="FU11" s="493" t="s">
        <v>210</v>
      </c>
      <c r="FV11" s="501"/>
      <c r="FW11" s="501"/>
      <c r="FX11" s="494"/>
      <c r="FY11" s="229"/>
      <c r="FZ11" s="228"/>
      <c r="GA11" s="502" t="s">
        <v>197</v>
      </c>
      <c r="GB11" s="501"/>
      <c r="GC11" s="501"/>
      <c r="GD11" s="494"/>
      <c r="GE11" s="502" t="s">
        <v>196</v>
      </c>
      <c r="GF11" s="501"/>
      <c r="GG11" s="494"/>
      <c r="GH11" s="493" t="s">
        <v>204</v>
      </c>
      <c r="GI11" s="501"/>
      <c r="GJ11" s="501"/>
      <c r="GK11" s="494"/>
      <c r="GL11" s="493" t="s">
        <v>263</v>
      </c>
      <c r="GM11" s="501"/>
      <c r="GN11" s="494"/>
      <c r="GO11" s="493" t="s">
        <v>205</v>
      </c>
      <c r="GP11" s="501"/>
      <c r="GQ11" s="501"/>
      <c r="GR11" s="494"/>
      <c r="GS11" s="229"/>
      <c r="GT11" s="228"/>
      <c r="GU11" s="502" t="s">
        <v>197</v>
      </c>
      <c r="GV11" s="501"/>
      <c r="GW11" s="501"/>
      <c r="GX11" s="494"/>
      <c r="GY11" s="502" t="s">
        <v>196</v>
      </c>
      <c r="GZ11" s="501"/>
      <c r="HA11" s="494"/>
      <c r="HB11" s="493" t="s">
        <v>204</v>
      </c>
      <c r="HC11" s="501"/>
      <c r="HD11" s="501"/>
      <c r="HE11" s="494"/>
      <c r="HF11" s="493" t="s">
        <v>265</v>
      </c>
      <c r="HG11" s="501"/>
      <c r="HH11" s="494"/>
      <c r="HI11" s="493" t="s">
        <v>134</v>
      </c>
      <c r="HJ11" s="501"/>
      <c r="HK11" s="501"/>
      <c r="HL11" s="494"/>
      <c r="HM11" s="229"/>
      <c r="HN11" s="228"/>
      <c r="HO11" s="502" t="s">
        <v>197</v>
      </c>
      <c r="HP11" s="501"/>
      <c r="HQ11" s="501"/>
      <c r="HR11" s="494"/>
      <c r="HS11" s="502" t="s">
        <v>230</v>
      </c>
      <c r="HT11" s="501"/>
      <c r="HU11" s="494"/>
      <c r="HV11" s="493" t="s">
        <v>204</v>
      </c>
      <c r="HW11" s="501"/>
      <c r="HX11" s="501"/>
      <c r="HY11" s="494"/>
      <c r="HZ11" s="493" t="s">
        <v>263</v>
      </c>
      <c r="IA11" s="501"/>
      <c r="IB11" s="494"/>
      <c r="IC11" s="493" t="s">
        <v>205</v>
      </c>
      <c r="ID11" s="501"/>
      <c r="IE11" s="501"/>
      <c r="IF11" s="494"/>
    </row>
    <row r="12" spans="1:240" ht="12.75">
      <c r="A12" s="228"/>
      <c r="B12" s="228"/>
      <c r="C12" s="234" t="s">
        <v>19</v>
      </c>
      <c r="D12" s="234" t="s">
        <v>3</v>
      </c>
      <c r="E12" s="234" t="s">
        <v>18</v>
      </c>
      <c r="F12" s="234" t="s">
        <v>10</v>
      </c>
      <c r="G12" s="234" t="s">
        <v>3</v>
      </c>
      <c r="H12" s="235" t="s">
        <v>18</v>
      </c>
      <c r="I12" s="235" t="s">
        <v>10</v>
      </c>
      <c r="J12" s="236" t="s">
        <v>19</v>
      </c>
      <c r="K12" s="234" t="s">
        <v>3</v>
      </c>
      <c r="L12" s="234" t="s">
        <v>18</v>
      </c>
      <c r="M12" s="235" t="s">
        <v>10</v>
      </c>
      <c r="N12" s="234" t="s">
        <v>3</v>
      </c>
      <c r="O12" s="234" t="s">
        <v>18</v>
      </c>
      <c r="P12" s="234" t="s">
        <v>10</v>
      </c>
      <c r="Q12" s="236" t="s">
        <v>19</v>
      </c>
      <c r="R12" s="234" t="s">
        <v>135</v>
      </c>
      <c r="S12" s="234" t="s">
        <v>18</v>
      </c>
      <c r="T12" s="235" t="s">
        <v>10</v>
      </c>
      <c r="U12" s="228"/>
      <c r="V12" s="228"/>
      <c r="W12" s="234" t="s">
        <v>19</v>
      </c>
      <c r="X12" s="234" t="s">
        <v>3</v>
      </c>
      <c r="Y12" s="234" t="s">
        <v>18</v>
      </c>
      <c r="Z12" s="234" t="s">
        <v>10</v>
      </c>
      <c r="AA12" s="234" t="s">
        <v>3</v>
      </c>
      <c r="AB12" s="235" t="s">
        <v>18</v>
      </c>
      <c r="AC12" s="235" t="s">
        <v>10</v>
      </c>
      <c r="AD12" s="236" t="s">
        <v>19</v>
      </c>
      <c r="AE12" s="234" t="s">
        <v>3</v>
      </c>
      <c r="AF12" s="234" t="s">
        <v>18</v>
      </c>
      <c r="AG12" s="235" t="s">
        <v>10</v>
      </c>
      <c r="AH12" s="234" t="s">
        <v>3</v>
      </c>
      <c r="AI12" s="234" t="s">
        <v>18</v>
      </c>
      <c r="AJ12" s="234" t="s">
        <v>10</v>
      </c>
      <c r="AK12" s="236" t="s">
        <v>19</v>
      </c>
      <c r="AL12" s="234" t="s">
        <v>135</v>
      </c>
      <c r="AM12" s="234" t="s">
        <v>18</v>
      </c>
      <c r="AN12" s="235" t="s">
        <v>10</v>
      </c>
      <c r="AO12" s="228"/>
      <c r="AP12" s="228"/>
      <c r="AQ12" s="234" t="s">
        <v>19</v>
      </c>
      <c r="AR12" s="234" t="s">
        <v>3</v>
      </c>
      <c r="AS12" s="234" t="s">
        <v>18</v>
      </c>
      <c r="AT12" s="234" t="s">
        <v>10</v>
      </c>
      <c r="AU12" s="234" t="s">
        <v>3</v>
      </c>
      <c r="AV12" s="235" t="s">
        <v>18</v>
      </c>
      <c r="AW12" s="235" t="s">
        <v>10</v>
      </c>
      <c r="AX12" s="236" t="s">
        <v>19</v>
      </c>
      <c r="AY12" s="234" t="s">
        <v>3</v>
      </c>
      <c r="AZ12" s="234" t="s">
        <v>18</v>
      </c>
      <c r="BA12" s="235" t="s">
        <v>10</v>
      </c>
      <c r="BB12" s="234" t="s">
        <v>3</v>
      </c>
      <c r="BC12" s="234" t="s">
        <v>18</v>
      </c>
      <c r="BD12" s="234" t="s">
        <v>10</v>
      </c>
      <c r="BE12" s="236" t="s">
        <v>19</v>
      </c>
      <c r="BF12" s="234" t="s">
        <v>135</v>
      </c>
      <c r="BG12" s="234" t="s">
        <v>18</v>
      </c>
      <c r="BH12" s="235" t="s">
        <v>10</v>
      </c>
      <c r="BI12" s="228"/>
      <c r="BJ12" s="228"/>
      <c r="BK12" s="234" t="s">
        <v>19</v>
      </c>
      <c r="BL12" s="234" t="s">
        <v>3</v>
      </c>
      <c r="BM12" s="234" t="s">
        <v>18</v>
      </c>
      <c r="BN12" s="234" t="s">
        <v>10</v>
      </c>
      <c r="BO12" s="234" t="s">
        <v>3</v>
      </c>
      <c r="BP12" s="235" t="s">
        <v>18</v>
      </c>
      <c r="BQ12" s="235" t="s">
        <v>10</v>
      </c>
      <c r="BR12" s="236" t="s">
        <v>19</v>
      </c>
      <c r="BS12" s="234" t="s">
        <v>3</v>
      </c>
      <c r="BT12" s="234" t="s">
        <v>18</v>
      </c>
      <c r="BU12" s="235" t="s">
        <v>10</v>
      </c>
      <c r="BV12" s="234" t="s">
        <v>3</v>
      </c>
      <c r="BW12" s="234" t="s">
        <v>18</v>
      </c>
      <c r="BX12" s="234" t="s">
        <v>10</v>
      </c>
      <c r="BY12" s="236" t="s">
        <v>19</v>
      </c>
      <c r="BZ12" s="234" t="s">
        <v>135</v>
      </c>
      <c r="CA12" s="234" t="s">
        <v>18</v>
      </c>
      <c r="CB12" s="235" t="s">
        <v>10</v>
      </c>
      <c r="CC12" s="228"/>
      <c r="CD12" s="228"/>
      <c r="CE12" s="234" t="s">
        <v>19</v>
      </c>
      <c r="CF12" s="234" t="s">
        <v>3</v>
      </c>
      <c r="CG12" s="234" t="s">
        <v>18</v>
      </c>
      <c r="CH12" s="234" t="s">
        <v>10</v>
      </c>
      <c r="CI12" s="234" t="s">
        <v>3</v>
      </c>
      <c r="CJ12" s="235" t="s">
        <v>18</v>
      </c>
      <c r="CK12" s="235" t="s">
        <v>10</v>
      </c>
      <c r="CL12" s="236" t="s">
        <v>19</v>
      </c>
      <c r="CM12" s="234" t="s">
        <v>3</v>
      </c>
      <c r="CN12" s="234" t="s">
        <v>18</v>
      </c>
      <c r="CO12" s="235" t="s">
        <v>10</v>
      </c>
      <c r="CP12" s="234" t="s">
        <v>3</v>
      </c>
      <c r="CQ12" s="234" t="s">
        <v>18</v>
      </c>
      <c r="CR12" s="234" t="s">
        <v>10</v>
      </c>
      <c r="CS12" s="236" t="s">
        <v>19</v>
      </c>
      <c r="CT12" s="234" t="s">
        <v>135</v>
      </c>
      <c r="CU12" s="234" t="s">
        <v>18</v>
      </c>
      <c r="CV12" s="235" t="s">
        <v>10</v>
      </c>
      <c r="CW12" s="228"/>
      <c r="CX12" s="228"/>
      <c r="CY12" s="234" t="s">
        <v>19</v>
      </c>
      <c r="CZ12" s="234" t="s">
        <v>3</v>
      </c>
      <c r="DA12" s="234" t="s">
        <v>18</v>
      </c>
      <c r="DB12" s="234" t="s">
        <v>10</v>
      </c>
      <c r="DC12" s="234" t="s">
        <v>3</v>
      </c>
      <c r="DD12" s="235" t="s">
        <v>18</v>
      </c>
      <c r="DE12" s="235" t="s">
        <v>10</v>
      </c>
      <c r="DF12" s="236" t="s">
        <v>19</v>
      </c>
      <c r="DG12" s="234" t="s">
        <v>3</v>
      </c>
      <c r="DH12" s="234" t="s">
        <v>18</v>
      </c>
      <c r="DI12" s="235" t="s">
        <v>10</v>
      </c>
      <c r="DJ12" s="234" t="s">
        <v>3</v>
      </c>
      <c r="DK12" s="234" t="s">
        <v>18</v>
      </c>
      <c r="DL12" s="234" t="s">
        <v>10</v>
      </c>
      <c r="DM12" s="236" t="s">
        <v>19</v>
      </c>
      <c r="DN12" s="234" t="s">
        <v>135</v>
      </c>
      <c r="DO12" s="234" t="s">
        <v>18</v>
      </c>
      <c r="DP12" s="235" t="s">
        <v>10</v>
      </c>
      <c r="DQ12" s="228"/>
      <c r="DR12" s="228"/>
      <c r="DS12" s="234" t="s">
        <v>19</v>
      </c>
      <c r="DT12" s="234" t="s">
        <v>3</v>
      </c>
      <c r="DU12" s="234" t="s">
        <v>18</v>
      </c>
      <c r="DV12" s="234" t="s">
        <v>10</v>
      </c>
      <c r="DW12" s="234" t="s">
        <v>3</v>
      </c>
      <c r="DX12" s="235" t="s">
        <v>18</v>
      </c>
      <c r="DY12" s="235" t="s">
        <v>10</v>
      </c>
      <c r="DZ12" s="236" t="s">
        <v>19</v>
      </c>
      <c r="EA12" s="234" t="s">
        <v>3</v>
      </c>
      <c r="EB12" s="234" t="s">
        <v>18</v>
      </c>
      <c r="EC12" s="235" t="s">
        <v>10</v>
      </c>
      <c r="ED12" s="234" t="s">
        <v>3</v>
      </c>
      <c r="EE12" s="234" t="s">
        <v>18</v>
      </c>
      <c r="EF12" s="234" t="s">
        <v>10</v>
      </c>
      <c r="EG12" s="236" t="s">
        <v>19</v>
      </c>
      <c r="EH12" s="234" t="s">
        <v>135</v>
      </c>
      <c r="EI12" s="234" t="s">
        <v>18</v>
      </c>
      <c r="EJ12" s="235" t="s">
        <v>10</v>
      </c>
      <c r="EK12" s="228"/>
      <c r="EL12" s="228"/>
      <c r="EM12" s="234" t="s">
        <v>19</v>
      </c>
      <c r="EN12" s="234" t="s">
        <v>3</v>
      </c>
      <c r="EO12" s="234" t="s">
        <v>18</v>
      </c>
      <c r="EP12" s="234" t="s">
        <v>10</v>
      </c>
      <c r="EQ12" s="234" t="s">
        <v>3</v>
      </c>
      <c r="ER12" s="235" t="s">
        <v>18</v>
      </c>
      <c r="ES12" s="235" t="s">
        <v>10</v>
      </c>
      <c r="ET12" s="236" t="s">
        <v>19</v>
      </c>
      <c r="EU12" s="234" t="s">
        <v>3</v>
      </c>
      <c r="EV12" s="234" t="s">
        <v>18</v>
      </c>
      <c r="EW12" s="235" t="s">
        <v>10</v>
      </c>
      <c r="EX12" s="234" t="s">
        <v>3</v>
      </c>
      <c r="EY12" s="234" t="s">
        <v>18</v>
      </c>
      <c r="EZ12" s="234" t="s">
        <v>10</v>
      </c>
      <c r="FA12" s="236" t="s">
        <v>19</v>
      </c>
      <c r="FB12" s="234" t="s">
        <v>135</v>
      </c>
      <c r="FC12" s="234" t="s">
        <v>18</v>
      </c>
      <c r="FD12" s="235" t="s">
        <v>10</v>
      </c>
      <c r="FE12" s="228"/>
      <c r="FF12" s="228"/>
      <c r="FG12" s="234" t="s">
        <v>19</v>
      </c>
      <c r="FH12" s="234" t="s">
        <v>3</v>
      </c>
      <c r="FI12" s="234" t="s">
        <v>18</v>
      </c>
      <c r="FJ12" s="234" t="s">
        <v>10</v>
      </c>
      <c r="FK12" s="234" t="s">
        <v>3</v>
      </c>
      <c r="FL12" s="235" t="s">
        <v>18</v>
      </c>
      <c r="FM12" s="235" t="s">
        <v>10</v>
      </c>
      <c r="FN12" s="236" t="s">
        <v>19</v>
      </c>
      <c r="FO12" s="234" t="s">
        <v>3</v>
      </c>
      <c r="FP12" s="234" t="s">
        <v>18</v>
      </c>
      <c r="FQ12" s="235" t="s">
        <v>10</v>
      </c>
      <c r="FR12" s="234" t="s">
        <v>3</v>
      </c>
      <c r="FS12" s="234" t="s">
        <v>18</v>
      </c>
      <c r="FT12" s="234" t="s">
        <v>10</v>
      </c>
      <c r="FU12" s="236" t="s">
        <v>19</v>
      </c>
      <c r="FV12" s="234" t="s">
        <v>135</v>
      </c>
      <c r="FW12" s="234" t="s">
        <v>18</v>
      </c>
      <c r="FX12" s="235" t="s">
        <v>10</v>
      </c>
      <c r="FY12" s="228"/>
      <c r="FZ12" s="228"/>
      <c r="GA12" s="234" t="s">
        <v>19</v>
      </c>
      <c r="GB12" s="234" t="s">
        <v>3</v>
      </c>
      <c r="GC12" s="234" t="s">
        <v>18</v>
      </c>
      <c r="GD12" s="234" t="s">
        <v>10</v>
      </c>
      <c r="GE12" s="234" t="s">
        <v>3</v>
      </c>
      <c r="GF12" s="235" t="s">
        <v>18</v>
      </c>
      <c r="GG12" s="235" t="s">
        <v>10</v>
      </c>
      <c r="GH12" s="236" t="s">
        <v>19</v>
      </c>
      <c r="GI12" s="234" t="s">
        <v>3</v>
      </c>
      <c r="GJ12" s="234" t="s">
        <v>18</v>
      </c>
      <c r="GK12" s="235" t="s">
        <v>10</v>
      </c>
      <c r="GL12" s="234" t="s">
        <v>3</v>
      </c>
      <c r="GM12" s="234" t="s">
        <v>18</v>
      </c>
      <c r="GN12" s="234" t="s">
        <v>10</v>
      </c>
      <c r="GO12" s="236" t="s">
        <v>19</v>
      </c>
      <c r="GP12" s="234" t="s">
        <v>135</v>
      </c>
      <c r="GQ12" s="234" t="s">
        <v>18</v>
      </c>
      <c r="GR12" s="235" t="s">
        <v>10</v>
      </c>
      <c r="GS12" s="228"/>
      <c r="GT12" s="228"/>
      <c r="GU12" s="234" t="s">
        <v>19</v>
      </c>
      <c r="GV12" s="234" t="s">
        <v>3</v>
      </c>
      <c r="GW12" s="234" t="s">
        <v>18</v>
      </c>
      <c r="GX12" s="234" t="s">
        <v>10</v>
      </c>
      <c r="GY12" s="234" t="s">
        <v>3</v>
      </c>
      <c r="GZ12" s="235" t="s">
        <v>18</v>
      </c>
      <c r="HA12" s="235" t="s">
        <v>10</v>
      </c>
      <c r="HB12" s="236" t="s">
        <v>19</v>
      </c>
      <c r="HC12" s="234" t="s">
        <v>3</v>
      </c>
      <c r="HD12" s="234" t="s">
        <v>18</v>
      </c>
      <c r="HE12" s="235" t="s">
        <v>10</v>
      </c>
      <c r="HF12" s="234" t="s">
        <v>3</v>
      </c>
      <c r="HG12" s="234" t="s">
        <v>18</v>
      </c>
      <c r="HH12" s="234" t="s">
        <v>10</v>
      </c>
      <c r="HI12" s="236" t="s">
        <v>19</v>
      </c>
      <c r="HJ12" s="234" t="s">
        <v>135</v>
      </c>
      <c r="HK12" s="234" t="s">
        <v>18</v>
      </c>
      <c r="HL12" s="235" t="s">
        <v>10</v>
      </c>
      <c r="HM12" s="228"/>
      <c r="HN12" s="228"/>
      <c r="HO12" s="234" t="s">
        <v>19</v>
      </c>
      <c r="HP12" s="234" t="s">
        <v>3</v>
      </c>
      <c r="HQ12" s="234" t="s">
        <v>18</v>
      </c>
      <c r="HR12" s="234" t="s">
        <v>10</v>
      </c>
      <c r="HS12" s="234" t="s">
        <v>3</v>
      </c>
      <c r="HT12" s="235" t="s">
        <v>18</v>
      </c>
      <c r="HU12" s="235" t="s">
        <v>10</v>
      </c>
      <c r="HV12" s="236" t="s">
        <v>19</v>
      </c>
      <c r="HW12" s="234" t="s">
        <v>3</v>
      </c>
      <c r="HX12" s="234" t="s">
        <v>18</v>
      </c>
      <c r="HY12" s="235" t="s">
        <v>10</v>
      </c>
      <c r="HZ12" s="234" t="s">
        <v>3</v>
      </c>
      <c r="IA12" s="234" t="s">
        <v>18</v>
      </c>
      <c r="IB12" s="234" t="s">
        <v>10</v>
      </c>
      <c r="IC12" s="236" t="s">
        <v>19</v>
      </c>
      <c r="ID12" s="234" t="s">
        <v>135</v>
      </c>
      <c r="IE12" s="234" t="s">
        <v>18</v>
      </c>
      <c r="IF12" s="235" t="s">
        <v>10</v>
      </c>
    </row>
    <row r="13" spans="1:240" ht="13.5" thickBot="1">
      <c r="A13" s="230"/>
      <c r="B13" s="230"/>
      <c r="C13" s="237" t="s">
        <v>37</v>
      </c>
      <c r="D13" s="237" t="s">
        <v>110</v>
      </c>
      <c r="E13" s="237"/>
      <c r="F13" s="237"/>
      <c r="G13" s="342" t="s">
        <v>67</v>
      </c>
      <c r="H13" s="238"/>
      <c r="I13" s="238"/>
      <c r="J13" s="239" t="s">
        <v>201</v>
      </c>
      <c r="K13" s="239" t="s">
        <v>201</v>
      </c>
      <c r="L13" s="237"/>
      <c r="M13" s="238"/>
      <c r="N13" s="343" t="s">
        <v>67</v>
      </c>
      <c r="O13" s="240"/>
      <c r="P13" s="237"/>
      <c r="Q13" s="241" t="s">
        <v>38</v>
      </c>
      <c r="R13" s="343" t="s">
        <v>201</v>
      </c>
      <c r="S13" s="237"/>
      <c r="T13" s="238"/>
      <c r="U13" s="230"/>
      <c r="V13" s="230"/>
      <c r="W13" s="237" t="s">
        <v>37</v>
      </c>
      <c r="X13" s="237" t="s">
        <v>113</v>
      </c>
      <c r="Y13" s="237"/>
      <c r="Z13" s="237"/>
      <c r="AA13" s="342" t="s">
        <v>67</v>
      </c>
      <c r="AB13" s="238"/>
      <c r="AC13" s="238"/>
      <c r="AD13" s="239" t="s">
        <v>201</v>
      </c>
      <c r="AE13" s="267" t="s">
        <v>201</v>
      </c>
      <c r="AF13" s="237"/>
      <c r="AG13" s="238"/>
      <c r="AH13" s="344" t="s">
        <v>67</v>
      </c>
      <c r="AI13" s="240"/>
      <c r="AJ13" s="237"/>
      <c r="AK13" s="241" t="s">
        <v>38</v>
      </c>
      <c r="AL13" s="240" t="s">
        <v>133</v>
      </c>
      <c r="AM13" s="237"/>
      <c r="AN13" s="238"/>
      <c r="AO13" s="230"/>
      <c r="AP13" s="230"/>
      <c r="AQ13" s="237" t="s">
        <v>37</v>
      </c>
      <c r="AR13" s="237" t="s">
        <v>114</v>
      </c>
      <c r="AS13" s="237"/>
      <c r="AT13" s="237"/>
      <c r="AU13" s="428" t="s">
        <v>67</v>
      </c>
      <c r="AV13" s="238"/>
      <c r="AW13" s="238"/>
      <c r="AX13" s="239" t="s">
        <v>201</v>
      </c>
      <c r="AY13" s="267" t="s">
        <v>201</v>
      </c>
      <c r="AZ13" s="237"/>
      <c r="BA13" s="238"/>
      <c r="BB13" s="344" t="s">
        <v>67</v>
      </c>
      <c r="BC13" s="240"/>
      <c r="BD13" s="237"/>
      <c r="BE13" s="241" t="s">
        <v>38</v>
      </c>
      <c r="BF13" s="240" t="s">
        <v>133</v>
      </c>
      <c r="BG13" s="237"/>
      <c r="BH13" s="238"/>
      <c r="BI13" s="230"/>
      <c r="BJ13" s="230"/>
      <c r="BK13" s="237" t="s">
        <v>37</v>
      </c>
      <c r="BL13" s="237" t="s">
        <v>115</v>
      </c>
      <c r="BM13" s="237"/>
      <c r="BN13" s="237"/>
      <c r="BO13" s="237" t="s">
        <v>5</v>
      </c>
      <c r="BP13" s="238"/>
      <c r="BQ13" s="238"/>
      <c r="BR13" s="239" t="s">
        <v>201</v>
      </c>
      <c r="BS13" s="267" t="s">
        <v>201</v>
      </c>
      <c r="BT13" s="237"/>
      <c r="BU13" s="238"/>
      <c r="BV13" s="344" t="s">
        <v>67</v>
      </c>
      <c r="BW13" s="240"/>
      <c r="BX13" s="237"/>
      <c r="BY13" s="241" t="s">
        <v>38</v>
      </c>
      <c r="BZ13" s="240" t="s">
        <v>133</v>
      </c>
      <c r="CA13" s="237"/>
      <c r="CB13" s="238"/>
      <c r="CC13" s="230"/>
      <c r="CD13" s="230"/>
      <c r="CE13" s="237" t="s">
        <v>37</v>
      </c>
      <c r="CF13" s="237" t="s">
        <v>116</v>
      </c>
      <c r="CG13" s="237"/>
      <c r="CH13" s="237"/>
      <c r="CI13" s="428" t="s">
        <v>67</v>
      </c>
      <c r="CJ13" s="238"/>
      <c r="CK13" s="238"/>
      <c r="CL13" s="239" t="s">
        <v>201</v>
      </c>
      <c r="CM13" s="267" t="s">
        <v>201</v>
      </c>
      <c r="CN13" s="237"/>
      <c r="CO13" s="238"/>
      <c r="CP13" s="344" t="s">
        <v>67</v>
      </c>
      <c r="CQ13" s="240"/>
      <c r="CR13" s="237"/>
      <c r="CS13" s="241" t="s">
        <v>38</v>
      </c>
      <c r="CT13" s="240" t="s">
        <v>133</v>
      </c>
      <c r="CU13" s="237"/>
      <c r="CV13" s="238"/>
      <c r="CW13" s="230"/>
      <c r="CX13" s="230"/>
      <c r="CY13" s="237" t="s">
        <v>37</v>
      </c>
      <c r="CZ13" s="237" t="s">
        <v>117</v>
      </c>
      <c r="DA13" s="237"/>
      <c r="DB13" s="237"/>
      <c r="DC13" s="342" t="s">
        <v>67</v>
      </c>
      <c r="DD13" s="238"/>
      <c r="DE13" s="238"/>
      <c r="DF13" s="239" t="s">
        <v>201</v>
      </c>
      <c r="DG13" s="267" t="s">
        <v>201</v>
      </c>
      <c r="DH13" s="237"/>
      <c r="DI13" s="238"/>
      <c r="DJ13" s="240" t="s">
        <v>5</v>
      </c>
      <c r="DK13" s="240"/>
      <c r="DL13" s="237"/>
      <c r="DM13" s="241" t="s">
        <v>38</v>
      </c>
      <c r="DN13" s="240" t="s">
        <v>133</v>
      </c>
      <c r="DO13" s="237"/>
      <c r="DP13" s="238"/>
      <c r="DQ13" s="230"/>
      <c r="DR13" s="230"/>
      <c r="DS13" s="237" t="s">
        <v>37</v>
      </c>
      <c r="DT13" s="237" t="s">
        <v>118</v>
      </c>
      <c r="DU13" s="237"/>
      <c r="DV13" s="237"/>
      <c r="DW13" s="428" t="s">
        <v>67</v>
      </c>
      <c r="DX13" s="238"/>
      <c r="DY13" s="238"/>
      <c r="DZ13" s="239" t="s">
        <v>201</v>
      </c>
      <c r="EA13" s="267" t="s">
        <v>201</v>
      </c>
      <c r="EB13" s="237"/>
      <c r="EC13" s="238"/>
      <c r="ED13" s="344" t="s">
        <v>67</v>
      </c>
      <c r="EE13" s="240"/>
      <c r="EF13" s="237"/>
      <c r="EG13" s="241" t="s">
        <v>38</v>
      </c>
      <c r="EH13" s="240" t="s">
        <v>133</v>
      </c>
      <c r="EI13" s="237"/>
      <c r="EJ13" s="238"/>
      <c r="EK13" s="230"/>
      <c r="EL13" s="230"/>
      <c r="EM13" s="237" t="s">
        <v>37</v>
      </c>
      <c r="EN13" s="237" t="s">
        <v>119</v>
      </c>
      <c r="EO13" s="237"/>
      <c r="EP13" s="237"/>
      <c r="EQ13" s="342" t="s">
        <v>67</v>
      </c>
      <c r="ER13" s="238"/>
      <c r="ES13" s="238"/>
      <c r="ET13" s="239" t="s">
        <v>201</v>
      </c>
      <c r="EU13" s="267" t="s">
        <v>201</v>
      </c>
      <c r="EV13" s="237"/>
      <c r="EW13" s="238"/>
      <c r="EX13" s="344" t="s">
        <v>67</v>
      </c>
      <c r="EY13" s="240"/>
      <c r="EZ13" s="237"/>
      <c r="FA13" s="241" t="s">
        <v>38</v>
      </c>
      <c r="FB13" s="240" t="s">
        <v>133</v>
      </c>
      <c r="FC13" s="237"/>
      <c r="FD13" s="238"/>
      <c r="FE13" s="230"/>
      <c r="FF13" s="230"/>
      <c r="FG13" s="237" t="s">
        <v>37</v>
      </c>
      <c r="FH13" s="237" t="s">
        <v>120</v>
      </c>
      <c r="FI13" s="237"/>
      <c r="FJ13" s="237"/>
      <c r="FK13" s="428" t="s">
        <v>67</v>
      </c>
      <c r="FL13" s="238"/>
      <c r="FM13" s="238"/>
      <c r="FN13" s="239" t="s">
        <v>67</v>
      </c>
      <c r="FO13" s="267" t="s">
        <v>201</v>
      </c>
      <c r="FP13" s="237"/>
      <c r="FQ13" s="238"/>
      <c r="FR13" s="344" t="s">
        <v>67</v>
      </c>
      <c r="FS13" s="240"/>
      <c r="FT13" s="237"/>
      <c r="FU13" s="241" t="s">
        <v>38</v>
      </c>
      <c r="FV13" s="240" t="s">
        <v>133</v>
      </c>
      <c r="FW13" s="237"/>
      <c r="FX13" s="238"/>
      <c r="FY13" s="230"/>
      <c r="FZ13" s="230"/>
      <c r="GA13" s="237" t="s">
        <v>37</v>
      </c>
      <c r="GB13" s="237" t="s">
        <v>121</v>
      </c>
      <c r="GC13" s="237"/>
      <c r="GD13" s="237"/>
      <c r="GE13" s="428" t="s">
        <v>67</v>
      </c>
      <c r="GF13" s="238"/>
      <c r="GG13" s="238"/>
      <c r="GH13" s="239" t="s">
        <v>201</v>
      </c>
      <c r="GI13" s="267" t="s">
        <v>201</v>
      </c>
      <c r="GJ13" s="237"/>
      <c r="GK13" s="238"/>
      <c r="GL13" s="344" t="s">
        <v>67</v>
      </c>
      <c r="GM13" s="240"/>
      <c r="GN13" s="237"/>
      <c r="GO13" s="241" t="s">
        <v>38</v>
      </c>
      <c r="GP13" s="240" t="s">
        <v>133</v>
      </c>
      <c r="GQ13" s="237"/>
      <c r="GR13" s="238"/>
      <c r="GS13" s="230"/>
      <c r="GT13" s="230"/>
      <c r="GU13" s="237" t="s">
        <v>37</v>
      </c>
      <c r="GV13" s="237" t="s">
        <v>122</v>
      </c>
      <c r="GW13" s="237"/>
      <c r="GX13" s="237"/>
      <c r="GY13" s="428" t="s">
        <v>67</v>
      </c>
      <c r="GZ13" s="238"/>
      <c r="HA13" s="238"/>
      <c r="HB13" s="239" t="s">
        <v>201</v>
      </c>
      <c r="HC13" s="267" t="s">
        <v>201</v>
      </c>
      <c r="HD13" s="237"/>
      <c r="HE13" s="238"/>
      <c r="HF13" s="344" t="s">
        <v>67</v>
      </c>
      <c r="HG13" s="240"/>
      <c r="HH13" s="237"/>
      <c r="HI13" s="241" t="s">
        <v>38</v>
      </c>
      <c r="HJ13" s="240" t="s">
        <v>133</v>
      </c>
      <c r="HK13" s="237"/>
      <c r="HL13" s="238"/>
      <c r="HM13" s="230"/>
      <c r="HN13" s="230"/>
      <c r="HO13" s="237" t="s">
        <v>37</v>
      </c>
      <c r="HP13" s="237" t="s">
        <v>123</v>
      </c>
      <c r="HQ13" s="237"/>
      <c r="HR13" s="237"/>
      <c r="HS13" s="428" t="s">
        <v>67</v>
      </c>
      <c r="HT13" s="238"/>
      <c r="HU13" s="238"/>
      <c r="HV13" s="239" t="s">
        <v>201</v>
      </c>
      <c r="HW13" s="267" t="s">
        <v>201</v>
      </c>
      <c r="HX13" s="237"/>
      <c r="HY13" s="238"/>
      <c r="HZ13" s="344" t="s">
        <v>67</v>
      </c>
      <c r="IA13" s="240"/>
      <c r="IB13" s="237"/>
      <c r="IC13" s="241" t="s">
        <v>38</v>
      </c>
      <c r="ID13" s="240" t="s">
        <v>133</v>
      </c>
      <c r="IE13" s="237"/>
      <c r="IF13" s="238"/>
    </row>
    <row r="14" spans="1:240" ht="13.5" thickBot="1">
      <c r="A14" s="245" t="s">
        <v>24</v>
      </c>
      <c r="B14" s="365" t="s">
        <v>39</v>
      </c>
      <c r="C14" s="172"/>
      <c r="D14" s="173">
        <v>1657</v>
      </c>
      <c r="E14" s="172"/>
      <c r="F14" s="172"/>
      <c r="G14" s="173">
        <v>1909</v>
      </c>
      <c r="H14" s="174">
        <f>G14-D14</f>
        <v>252</v>
      </c>
      <c r="I14" s="175">
        <f>H14/G14</f>
        <v>0.1320062860136197</v>
      </c>
      <c r="J14" s="172"/>
      <c r="K14" s="173">
        <f>SUM(D14)</f>
        <v>1657</v>
      </c>
      <c r="L14" s="172"/>
      <c r="M14" s="251"/>
      <c r="N14" s="256">
        <f>SUM(G14)</f>
        <v>1909</v>
      </c>
      <c r="O14" s="253">
        <f aca="true" t="shared" si="0" ref="O14:O25">N14-K14</f>
        <v>252</v>
      </c>
      <c r="P14" s="177">
        <f>O14/N14</f>
        <v>0.1320062860136197</v>
      </c>
      <c r="Q14" s="178"/>
      <c r="R14" s="196">
        <f>K14/$B$50*365</f>
        <v>1657</v>
      </c>
      <c r="S14" s="178"/>
      <c r="T14" s="178"/>
      <c r="U14" s="370" t="s">
        <v>24</v>
      </c>
      <c r="V14" s="370" t="s">
        <v>39</v>
      </c>
      <c r="W14" s="172"/>
      <c r="X14" s="173">
        <v>1213</v>
      </c>
      <c r="Y14" s="172"/>
      <c r="Z14" s="172"/>
      <c r="AA14" s="173">
        <v>1380</v>
      </c>
      <c r="AB14" s="174">
        <f>AA14-X14</f>
        <v>167</v>
      </c>
      <c r="AC14" s="175">
        <f>AB14/AA14</f>
        <v>0.12101449275362319</v>
      </c>
      <c r="AD14" s="263"/>
      <c r="AE14" s="173">
        <f>SUM(K14+X14)</f>
        <v>2870</v>
      </c>
      <c r="AF14" s="265"/>
      <c r="AG14" s="251"/>
      <c r="AH14" s="256">
        <f>SUM(N14+AA14)</f>
        <v>3289</v>
      </c>
      <c r="AI14" s="253">
        <f aca="true" t="shared" si="1" ref="AI14:AI26">AH14-AE14</f>
        <v>419</v>
      </c>
      <c r="AJ14" s="177">
        <f>AI14/AH14</f>
        <v>0.12739434478564912</v>
      </c>
      <c r="AK14" s="178"/>
      <c r="AL14" s="179"/>
      <c r="AM14" s="178"/>
      <c r="AN14" s="178"/>
      <c r="AO14" s="245" t="s">
        <v>24</v>
      </c>
      <c r="AP14" s="245" t="s">
        <v>39</v>
      </c>
      <c r="AQ14" s="172"/>
      <c r="AR14" s="173">
        <v>1419</v>
      </c>
      <c r="AS14" s="172"/>
      <c r="AT14" s="172"/>
      <c r="AU14" s="173">
        <v>1356</v>
      </c>
      <c r="AV14" s="174">
        <f>AU14-AR14</f>
        <v>-63</v>
      </c>
      <c r="AW14" s="175">
        <f>AV14/AU14</f>
        <v>-0.046460176991150445</v>
      </c>
      <c r="AX14" s="263"/>
      <c r="AY14" s="173">
        <f>SUM(AE14+AR14)</f>
        <v>4289</v>
      </c>
      <c r="AZ14" s="265"/>
      <c r="BA14" s="251"/>
      <c r="BB14" s="256">
        <f>SUM(AH14+AU14)</f>
        <v>4645</v>
      </c>
      <c r="BC14" s="253">
        <f aca="true" t="shared" si="2" ref="BC14:BC26">BB14-AY14</f>
        <v>356</v>
      </c>
      <c r="BD14" s="177">
        <f>BC14/BB14</f>
        <v>0.07664155005382131</v>
      </c>
      <c r="BE14" s="178"/>
      <c r="BF14" s="179"/>
      <c r="BG14" s="178"/>
      <c r="BH14" s="178"/>
      <c r="BI14" s="245" t="s">
        <v>24</v>
      </c>
      <c r="BJ14" s="245" t="s">
        <v>39</v>
      </c>
      <c r="BK14" s="172"/>
      <c r="BL14" s="173">
        <v>1322</v>
      </c>
      <c r="BM14" s="172"/>
      <c r="BN14" s="172"/>
      <c r="BO14" s="173">
        <v>1208</v>
      </c>
      <c r="BP14" s="174">
        <f>BO14-BL14</f>
        <v>-114</v>
      </c>
      <c r="BQ14" s="175">
        <f>BP14/BO14</f>
        <v>-0.09437086092715231</v>
      </c>
      <c r="BR14" s="263"/>
      <c r="BS14" s="173">
        <f>SUM(AY14+BL14)</f>
        <v>5611</v>
      </c>
      <c r="BT14" s="265"/>
      <c r="BU14" s="251"/>
      <c r="BV14" s="256">
        <f>SUM(BB14+BO14)</f>
        <v>5853</v>
      </c>
      <c r="BW14" s="253">
        <f aca="true" t="shared" si="3" ref="BW14:BW26">BV14-BS14</f>
        <v>242</v>
      </c>
      <c r="BX14" s="177">
        <f>BW14/BV14</f>
        <v>0.041346318127456004</v>
      </c>
      <c r="BY14" s="178"/>
      <c r="BZ14" s="179"/>
      <c r="CA14" s="178"/>
      <c r="CB14" s="178"/>
      <c r="CC14" s="245" t="s">
        <v>24</v>
      </c>
      <c r="CD14" s="245" t="s">
        <v>39</v>
      </c>
      <c r="CE14" s="172"/>
      <c r="CF14" s="173">
        <v>1383</v>
      </c>
      <c r="CG14" s="172"/>
      <c r="CH14" s="172"/>
      <c r="CI14" s="173">
        <v>1422</v>
      </c>
      <c r="CJ14" s="174">
        <f>CI14-CF14</f>
        <v>39</v>
      </c>
      <c r="CK14" s="175">
        <f>CJ14/CI14</f>
        <v>0.027426160337552744</v>
      </c>
      <c r="CL14" s="263"/>
      <c r="CM14" s="173">
        <f>SUM(BS14+CF14)</f>
        <v>6994</v>
      </c>
      <c r="CN14" s="265"/>
      <c r="CO14" s="251"/>
      <c r="CP14" s="256">
        <f>SUM(BV14+CI14)</f>
        <v>7275</v>
      </c>
      <c r="CQ14" s="253">
        <f aca="true" t="shared" si="4" ref="CQ14:CQ26">CP14-CM14</f>
        <v>281</v>
      </c>
      <c r="CR14" s="177">
        <f>CQ14/CP14</f>
        <v>0.038625429553264604</v>
      </c>
      <c r="CS14" s="178"/>
      <c r="CT14" s="179"/>
      <c r="CU14" s="178"/>
      <c r="CV14" s="178"/>
      <c r="CW14" s="245" t="s">
        <v>24</v>
      </c>
      <c r="CX14" s="245" t="s">
        <v>39</v>
      </c>
      <c r="CY14" s="172"/>
      <c r="CZ14" s="173">
        <v>1428</v>
      </c>
      <c r="DA14" s="172"/>
      <c r="DB14" s="172"/>
      <c r="DC14" s="173">
        <v>1219</v>
      </c>
      <c r="DD14" s="174">
        <f>DC14-CZ14</f>
        <v>-209</v>
      </c>
      <c r="DE14" s="175">
        <f>DD14/DC14</f>
        <v>-0.17145200984413453</v>
      </c>
      <c r="DF14" s="263"/>
      <c r="DG14" s="173">
        <f>SUM(CM14+CZ14)</f>
        <v>8422</v>
      </c>
      <c r="DH14" s="265"/>
      <c r="DI14" s="251"/>
      <c r="DJ14" s="256">
        <f>SUM(CP14+DC14)</f>
        <v>8494</v>
      </c>
      <c r="DK14" s="253">
        <f aca="true" t="shared" si="5" ref="DK14:DK26">DJ14-DG14</f>
        <v>72</v>
      </c>
      <c r="DL14" s="177">
        <f>DK14/DJ14</f>
        <v>0.008476571697668942</v>
      </c>
      <c r="DM14" s="178"/>
      <c r="DN14" s="179"/>
      <c r="DO14" s="178"/>
      <c r="DP14" s="178"/>
      <c r="DQ14" s="245" t="s">
        <v>24</v>
      </c>
      <c r="DR14" s="245" t="s">
        <v>39</v>
      </c>
      <c r="DS14" s="172"/>
      <c r="DT14" s="173">
        <v>1553</v>
      </c>
      <c r="DU14" s="172"/>
      <c r="DV14" s="172"/>
      <c r="DW14" s="173">
        <v>1258</v>
      </c>
      <c r="DX14" s="174">
        <f>DW14-DT14</f>
        <v>-295</v>
      </c>
      <c r="DY14" s="175">
        <f>DX14/DW14</f>
        <v>-0.23449920508744038</v>
      </c>
      <c r="DZ14" s="263"/>
      <c r="EA14" s="173">
        <f>SUM(DG14+DT14)</f>
        <v>9975</v>
      </c>
      <c r="EB14" s="265"/>
      <c r="EC14" s="251"/>
      <c r="ED14" s="256">
        <f>SUM(DJ14+DW14)</f>
        <v>9752</v>
      </c>
      <c r="EE14" s="253">
        <f aca="true" t="shared" si="6" ref="EE14:EE26">ED14-EA14</f>
        <v>-223</v>
      </c>
      <c r="EF14" s="177">
        <f>EE14/ED14</f>
        <v>-0.02286710418375718</v>
      </c>
      <c r="EG14" s="178"/>
      <c r="EH14" s="179"/>
      <c r="EI14" s="178"/>
      <c r="EJ14" s="178"/>
      <c r="EK14" s="245" t="s">
        <v>24</v>
      </c>
      <c r="EL14" s="245" t="s">
        <v>39</v>
      </c>
      <c r="EM14" s="172"/>
      <c r="EN14" s="173">
        <v>2119</v>
      </c>
      <c r="EO14" s="172"/>
      <c r="EP14" s="172"/>
      <c r="EQ14" s="173">
        <v>1279</v>
      </c>
      <c r="ER14" s="174">
        <f>EQ14-EN14</f>
        <v>-840</v>
      </c>
      <c r="ES14" s="175">
        <f>ER14/EQ14</f>
        <v>-0.656763096168882</v>
      </c>
      <c r="ET14" s="263"/>
      <c r="EU14" s="173">
        <f>SUM(EA14+EN14)</f>
        <v>12094</v>
      </c>
      <c r="EV14" s="265"/>
      <c r="EW14" s="251"/>
      <c r="EX14" s="256">
        <f>SUM(ED14+EQ14)</f>
        <v>11031</v>
      </c>
      <c r="EY14" s="253">
        <f aca="true" t="shared" si="7" ref="EY14:EY26">EX14-EU14</f>
        <v>-1063</v>
      </c>
      <c r="EZ14" s="177">
        <f>EY14/EX14</f>
        <v>-0.09636479013688695</v>
      </c>
      <c r="FA14" s="178"/>
      <c r="FB14" s="179"/>
      <c r="FC14" s="178"/>
      <c r="FD14" s="178"/>
      <c r="FE14" s="245" t="s">
        <v>24</v>
      </c>
      <c r="FF14" s="245" t="s">
        <v>39</v>
      </c>
      <c r="FG14" s="172"/>
      <c r="FH14" s="173">
        <v>1271</v>
      </c>
      <c r="FI14" s="172"/>
      <c r="FJ14" s="172"/>
      <c r="FK14" s="173">
        <v>1349</v>
      </c>
      <c r="FL14" s="174">
        <f>FK14-FH14</f>
        <v>78</v>
      </c>
      <c r="FM14" s="175">
        <f>FL14/FK14</f>
        <v>0.05782060785767235</v>
      </c>
      <c r="FN14" s="263"/>
      <c r="FO14" s="173">
        <f>SUM(EU14+FH14)</f>
        <v>13365</v>
      </c>
      <c r="FP14" s="265"/>
      <c r="FQ14" s="251"/>
      <c r="FR14" s="256">
        <f>SUM(EX14+FK14)</f>
        <v>12380</v>
      </c>
      <c r="FS14" s="253">
        <f aca="true" t="shared" si="8" ref="FS14:FS26">FR14-FO14</f>
        <v>-985</v>
      </c>
      <c r="FT14" s="177">
        <f>FS14/FR14</f>
        <v>-0.0795638126009693</v>
      </c>
      <c r="FU14" s="178"/>
      <c r="FV14" s="179"/>
      <c r="FW14" s="178"/>
      <c r="FX14" s="178"/>
      <c r="FY14" s="245" t="s">
        <v>24</v>
      </c>
      <c r="FZ14" s="245" t="s">
        <v>39</v>
      </c>
      <c r="GA14" s="172"/>
      <c r="GB14" s="173">
        <v>1344</v>
      </c>
      <c r="GC14" s="172"/>
      <c r="GD14" s="172"/>
      <c r="GE14" s="173">
        <v>1146</v>
      </c>
      <c r="GF14" s="174">
        <f>GE14-GB14</f>
        <v>-198</v>
      </c>
      <c r="GG14" s="175">
        <f>GF14/GE14</f>
        <v>-0.17277486910994763</v>
      </c>
      <c r="GH14" s="263"/>
      <c r="GI14" s="173">
        <f>SUM(FO14+GB14)</f>
        <v>14709</v>
      </c>
      <c r="GJ14" s="265"/>
      <c r="GK14" s="251"/>
      <c r="GL14" s="256">
        <f>SUM(FR14+GE14)</f>
        <v>13526</v>
      </c>
      <c r="GM14" s="253">
        <f aca="true" t="shared" si="9" ref="GM14:GM26">GL14-GI14</f>
        <v>-1183</v>
      </c>
      <c r="GN14" s="177">
        <f>GM14/GL14</f>
        <v>-0.08746118586426142</v>
      </c>
      <c r="GO14" s="178"/>
      <c r="GP14" s="179"/>
      <c r="GQ14" s="178"/>
      <c r="GR14" s="178"/>
      <c r="GS14" s="245" t="s">
        <v>24</v>
      </c>
      <c r="GT14" s="245" t="s">
        <v>39</v>
      </c>
      <c r="GU14" s="172"/>
      <c r="GV14" s="173">
        <v>1174</v>
      </c>
      <c r="GW14" s="172"/>
      <c r="GX14" s="172"/>
      <c r="GY14" s="173">
        <v>1363</v>
      </c>
      <c r="GZ14" s="174">
        <f>GY14-GV14</f>
        <v>189</v>
      </c>
      <c r="HA14" s="175">
        <f>GZ14/GY14</f>
        <v>0.13866471019809246</v>
      </c>
      <c r="HB14" s="263"/>
      <c r="HC14" s="173">
        <f>SUM(GI14+GV14)</f>
        <v>15883</v>
      </c>
      <c r="HD14" s="265"/>
      <c r="HE14" s="251"/>
      <c r="HF14" s="256">
        <f>SUM(GL14+GY14)</f>
        <v>14889</v>
      </c>
      <c r="HG14" s="253">
        <f aca="true" t="shared" si="10" ref="HG14:HG26">HF14-HC14</f>
        <v>-994</v>
      </c>
      <c r="HH14" s="177">
        <f>HG14/HF14</f>
        <v>-0.06676069581570286</v>
      </c>
      <c r="HI14" s="178"/>
      <c r="HJ14" s="179"/>
      <c r="HK14" s="178"/>
      <c r="HL14" s="178"/>
      <c r="HM14" s="245" t="s">
        <v>24</v>
      </c>
      <c r="HN14" s="245" t="s">
        <v>39</v>
      </c>
      <c r="HO14" s="172"/>
      <c r="HP14" s="173">
        <f>1246+332</f>
        <v>1578</v>
      </c>
      <c r="HQ14" s="172"/>
      <c r="HR14" s="172"/>
      <c r="HS14" s="173">
        <v>1325</v>
      </c>
      <c r="HT14" s="174">
        <f>HS14-HP14</f>
        <v>-253</v>
      </c>
      <c r="HU14" s="175">
        <f>HT14/HS14</f>
        <v>-0.1909433962264151</v>
      </c>
      <c r="HV14" s="263"/>
      <c r="HW14" s="173">
        <f>SUM(HC14+HP14)</f>
        <v>17461</v>
      </c>
      <c r="HX14" s="265"/>
      <c r="HY14" s="251"/>
      <c r="HZ14" s="256">
        <f>SUM(HF14+HS14)</f>
        <v>16214</v>
      </c>
      <c r="IA14" s="253">
        <f aca="true" t="shared" si="11" ref="IA14:IA26">HZ14-HW14</f>
        <v>-1247</v>
      </c>
      <c r="IB14" s="177">
        <f>IA14/HZ14</f>
        <v>-0.07690884420870853</v>
      </c>
      <c r="IC14" s="178"/>
      <c r="ID14" s="179"/>
      <c r="IE14" s="178"/>
      <c r="IF14" s="178"/>
    </row>
    <row r="15" spans="1:240" ht="13.5" thickBot="1">
      <c r="A15" s="242"/>
      <c r="B15" s="366" t="s">
        <v>40</v>
      </c>
      <c r="C15" s="180"/>
      <c r="D15" s="181">
        <v>76</v>
      </c>
      <c r="E15" s="180"/>
      <c r="F15" s="180"/>
      <c r="G15" s="181">
        <v>61</v>
      </c>
      <c r="H15" s="249">
        <f aca="true" t="shared" si="12" ref="H15:H26">G15-D15</f>
        <v>-15</v>
      </c>
      <c r="I15" s="183">
        <f aca="true" t="shared" si="13" ref="I15:I26">H15/G15</f>
        <v>-0.2459016393442623</v>
      </c>
      <c r="J15" s="180"/>
      <c r="K15" s="181">
        <f>SUM(D15)</f>
        <v>76</v>
      </c>
      <c r="L15" s="180"/>
      <c r="M15" s="252"/>
      <c r="N15" s="195">
        <f>SUM(G15)</f>
        <v>61</v>
      </c>
      <c r="O15" s="358">
        <f t="shared" si="0"/>
        <v>-15</v>
      </c>
      <c r="P15" s="186">
        <f aca="true" t="shared" si="14" ref="P15:P26">O15/N15</f>
        <v>-0.2459016393442623</v>
      </c>
      <c r="Q15" s="178"/>
      <c r="R15" s="196">
        <f>K15/$B$50*365</f>
        <v>76</v>
      </c>
      <c r="S15" s="178"/>
      <c r="T15" s="178"/>
      <c r="U15" s="242"/>
      <c r="V15" s="360" t="s">
        <v>40</v>
      </c>
      <c r="W15" s="180"/>
      <c r="X15" s="181">
        <v>51</v>
      </c>
      <c r="Y15" s="180"/>
      <c r="Z15" s="180"/>
      <c r="AA15" s="181">
        <v>49</v>
      </c>
      <c r="AB15" s="249">
        <f aca="true" t="shared" si="15" ref="AB15:AB26">AA15-X15</f>
        <v>-2</v>
      </c>
      <c r="AC15" s="183">
        <f aca="true" t="shared" si="16" ref="AC15:AC26">AB15/AA15</f>
        <v>-0.04081632653061224</v>
      </c>
      <c r="AD15" s="264"/>
      <c r="AE15" s="181">
        <f>SUM(K15+X15)</f>
        <v>127</v>
      </c>
      <c r="AF15" s="266"/>
      <c r="AG15" s="252"/>
      <c r="AH15" s="195">
        <f>SUM(N15+AA15)</f>
        <v>110</v>
      </c>
      <c r="AI15" s="195">
        <f>SUM(O15+AB15)</f>
        <v>-17</v>
      </c>
      <c r="AJ15" s="186">
        <f aca="true" t="shared" si="17" ref="AJ15:AJ26">AI15/AH15</f>
        <v>-0.15454545454545454</v>
      </c>
      <c r="AK15" s="178"/>
      <c r="AL15" s="187"/>
      <c r="AM15" s="178"/>
      <c r="AN15" s="178"/>
      <c r="AO15" s="242"/>
      <c r="AP15" s="244" t="s">
        <v>40</v>
      </c>
      <c r="AQ15" s="180"/>
      <c r="AR15" s="181">
        <v>54</v>
      </c>
      <c r="AS15" s="180"/>
      <c r="AT15" s="180"/>
      <c r="AU15" s="181">
        <v>75</v>
      </c>
      <c r="AV15" s="249">
        <f aca="true" t="shared" si="18" ref="AV15:AV26">AU15-AR15</f>
        <v>21</v>
      </c>
      <c r="AW15" s="183">
        <f aca="true" t="shared" si="19" ref="AW15:AW26">AV15/AU15</f>
        <v>0.28</v>
      </c>
      <c r="AX15" s="264"/>
      <c r="AY15" s="181">
        <f>SUM(AE15+AR15)</f>
        <v>181</v>
      </c>
      <c r="AZ15" s="266"/>
      <c r="BA15" s="252"/>
      <c r="BB15" s="195">
        <f>SUM(AH15+AU15)</f>
        <v>185</v>
      </c>
      <c r="BC15" s="358">
        <f t="shared" si="2"/>
        <v>4</v>
      </c>
      <c r="BD15" s="186">
        <f aca="true" t="shared" si="20" ref="BD15:BD26">BC15/BB15</f>
        <v>0.021621621621621623</v>
      </c>
      <c r="BE15" s="178"/>
      <c r="BF15" s="187"/>
      <c r="BG15" s="178"/>
      <c r="BH15" s="178"/>
      <c r="BI15" s="242"/>
      <c r="BJ15" s="244" t="s">
        <v>40</v>
      </c>
      <c r="BK15" s="180"/>
      <c r="BL15" s="181">
        <v>53</v>
      </c>
      <c r="BM15" s="180"/>
      <c r="BN15" s="180"/>
      <c r="BO15" s="181">
        <v>76</v>
      </c>
      <c r="BP15" s="249">
        <f aca="true" t="shared" si="21" ref="BP15:BP26">BO15-BL15</f>
        <v>23</v>
      </c>
      <c r="BQ15" s="183">
        <f aca="true" t="shared" si="22" ref="BQ15:BQ26">BP15/BO15</f>
        <v>0.3026315789473684</v>
      </c>
      <c r="BR15" s="264"/>
      <c r="BS15" s="202">
        <f>SUM(AY15+BL15)</f>
        <v>234</v>
      </c>
      <c r="BT15" s="266"/>
      <c r="BU15" s="252"/>
      <c r="BV15" s="255">
        <f>SUM(BB15+BO15)</f>
        <v>261</v>
      </c>
      <c r="BW15" s="254">
        <f t="shared" si="3"/>
        <v>27</v>
      </c>
      <c r="BX15" s="186">
        <f aca="true" t="shared" si="23" ref="BX15:BX26">BW15/BV15</f>
        <v>0.10344827586206896</v>
      </c>
      <c r="BY15" s="178"/>
      <c r="BZ15" s="187"/>
      <c r="CA15" s="178"/>
      <c r="CB15" s="178"/>
      <c r="CC15" s="242"/>
      <c r="CD15" s="244" t="s">
        <v>40</v>
      </c>
      <c r="CE15" s="180"/>
      <c r="CF15" s="181">
        <v>57</v>
      </c>
      <c r="CG15" s="180"/>
      <c r="CH15" s="180"/>
      <c r="CI15" s="181">
        <v>67</v>
      </c>
      <c r="CJ15" s="249">
        <f aca="true" t="shared" si="24" ref="CJ15:CJ26">CI15-CF15</f>
        <v>10</v>
      </c>
      <c r="CK15" s="183">
        <f aca="true" t="shared" si="25" ref="CK15:CK26">CJ15/CI15</f>
        <v>0.14925373134328357</v>
      </c>
      <c r="CL15" s="264"/>
      <c r="CM15" s="202">
        <f>SUM(BS15+CF15)</f>
        <v>291</v>
      </c>
      <c r="CN15" s="266"/>
      <c r="CO15" s="252"/>
      <c r="CP15" s="255">
        <f>SUM(BV15+CI15)</f>
        <v>328</v>
      </c>
      <c r="CQ15" s="254">
        <f t="shared" si="4"/>
        <v>37</v>
      </c>
      <c r="CR15" s="186">
        <f aca="true" t="shared" si="26" ref="CR15:CR26">CQ15/CP15</f>
        <v>0.11280487804878049</v>
      </c>
      <c r="CS15" s="178"/>
      <c r="CT15" s="187"/>
      <c r="CU15" s="178"/>
      <c r="CV15" s="178"/>
      <c r="CW15" s="242"/>
      <c r="CX15" s="244" t="s">
        <v>40</v>
      </c>
      <c r="CY15" s="180"/>
      <c r="CZ15" s="181">
        <v>61</v>
      </c>
      <c r="DA15" s="180"/>
      <c r="DB15" s="180"/>
      <c r="DC15" s="181">
        <v>48</v>
      </c>
      <c r="DD15" s="249">
        <f aca="true" t="shared" si="27" ref="DD15:DD26">DC15-CZ15</f>
        <v>-13</v>
      </c>
      <c r="DE15" s="183">
        <f aca="true" t="shared" si="28" ref="DE15:DE26">DD15/DC15</f>
        <v>-0.2708333333333333</v>
      </c>
      <c r="DF15" s="264"/>
      <c r="DG15" s="202">
        <f>SUM(CM15+CZ15)</f>
        <v>352</v>
      </c>
      <c r="DH15" s="266"/>
      <c r="DI15" s="252"/>
      <c r="DJ15" s="255">
        <f>SUM(CP15+DC15)</f>
        <v>376</v>
      </c>
      <c r="DK15" s="254">
        <f t="shared" si="5"/>
        <v>24</v>
      </c>
      <c r="DL15" s="186">
        <f aca="true" t="shared" si="29" ref="DL15:DL26">DK15/DJ15</f>
        <v>0.06382978723404255</v>
      </c>
      <c r="DM15" s="178"/>
      <c r="DN15" s="187"/>
      <c r="DO15" s="178"/>
      <c r="DP15" s="178"/>
      <c r="DQ15" s="242"/>
      <c r="DR15" s="244" t="s">
        <v>40</v>
      </c>
      <c r="DS15" s="180"/>
      <c r="DT15" s="181">
        <v>76</v>
      </c>
      <c r="DU15" s="180"/>
      <c r="DV15" s="180"/>
      <c r="DW15" s="181">
        <v>52</v>
      </c>
      <c r="DX15" s="249">
        <f aca="true" t="shared" si="30" ref="DX15:DX26">DW15-DT15</f>
        <v>-24</v>
      </c>
      <c r="DY15" s="183">
        <f aca="true" t="shared" si="31" ref="DY15:DY26">DX15/DW15</f>
        <v>-0.46153846153846156</v>
      </c>
      <c r="DZ15" s="264"/>
      <c r="EA15" s="202">
        <f>SUM(DG15+DT15)</f>
        <v>428</v>
      </c>
      <c r="EB15" s="266"/>
      <c r="EC15" s="252"/>
      <c r="ED15" s="255">
        <f>SUM(DJ15+DW15)</f>
        <v>428</v>
      </c>
      <c r="EE15" s="254">
        <f t="shared" si="6"/>
        <v>0</v>
      </c>
      <c r="EF15" s="186">
        <f aca="true" t="shared" si="32" ref="EF15:EF26">EE15/ED15</f>
        <v>0</v>
      </c>
      <c r="EG15" s="178"/>
      <c r="EH15" s="187"/>
      <c r="EI15" s="178"/>
      <c r="EJ15" s="178"/>
      <c r="EK15" s="242"/>
      <c r="EL15" s="244" t="s">
        <v>40</v>
      </c>
      <c r="EM15" s="180"/>
      <c r="EN15" s="181">
        <v>65</v>
      </c>
      <c r="EO15" s="180"/>
      <c r="EP15" s="180"/>
      <c r="EQ15" s="181">
        <v>60</v>
      </c>
      <c r="ER15" s="249">
        <f aca="true" t="shared" si="33" ref="ER15:ER26">EQ15-EN15</f>
        <v>-5</v>
      </c>
      <c r="ES15" s="183">
        <f aca="true" t="shared" si="34" ref="ES15:ES26">ER15/EQ15</f>
        <v>-0.08333333333333333</v>
      </c>
      <c r="ET15" s="264"/>
      <c r="EU15" s="202">
        <f>SUM(EA15+EN15)</f>
        <v>493</v>
      </c>
      <c r="EV15" s="266"/>
      <c r="EW15" s="252"/>
      <c r="EX15" s="255">
        <f>SUM(ED15+EQ15)</f>
        <v>488</v>
      </c>
      <c r="EY15" s="254">
        <f t="shared" si="7"/>
        <v>-5</v>
      </c>
      <c r="EZ15" s="186">
        <f aca="true" t="shared" si="35" ref="EZ15:EZ26">EY15/EX15</f>
        <v>-0.010245901639344262</v>
      </c>
      <c r="FA15" s="178"/>
      <c r="FB15" s="187"/>
      <c r="FC15" s="178"/>
      <c r="FD15" s="178"/>
      <c r="FE15" s="242"/>
      <c r="FF15" s="244" t="s">
        <v>40</v>
      </c>
      <c r="FG15" s="180"/>
      <c r="FH15" s="181">
        <v>47</v>
      </c>
      <c r="FI15" s="180"/>
      <c r="FJ15" s="180"/>
      <c r="FK15" s="181">
        <v>54</v>
      </c>
      <c r="FL15" s="249">
        <f aca="true" t="shared" si="36" ref="FL15:FL26">FK15-FH15</f>
        <v>7</v>
      </c>
      <c r="FM15" s="183">
        <f aca="true" t="shared" si="37" ref="FM15:FM26">FL15/FK15</f>
        <v>0.12962962962962962</v>
      </c>
      <c r="FN15" s="264"/>
      <c r="FO15" s="202">
        <f>SUM(EU15+FH15)</f>
        <v>540</v>
      </c>
      <c r="FP15" s="266"/>
      <c r="FQ15" s="252"/>
      <c r="FR15" s="255">
        <f>SUM(EX15+FK15)</f>
        <v>542</v>
      </c>
      <c r="FS15" s="254">
        <f t="shared" si="8"/>
        <v>2</v>
      </c>
      <c r="FT15" s="186">
        <f aca="true" t="shared" si="38" ref="FT15:FT26">FS15/FR15</f>
        <v>0.0036900369003690036</v>
      </c>
      <c r="FU15" s="178"/>
      <c r="FV15" s="187"/>
      <c r="FW15" s="178"/>
      <c r="FX15" s="178"/>
      <c r="FY15" s="242"/>
      <c r="FZ15" s="244" t="s">
        <v>40</v>
      </c>
      <c r="GA15" s="180"/>
      <c r="GB15" s="181">
        <v>33</v>
      </c>
      <c r="GC15" s="180"/>
      <c r="GD15" s="180"/>
      <c r="GE15" s="181">
        <v>37</v>
      </c>
      <c r="GF15" s="249">
        <f aca="true" t="shared" si="39" ref="GF15:GF26">GE15-GB15</f>
        <v>4</v>
      </c>
      <c r="GG15" s="183">
        <f aca="true" t="shared" si="40" ref="GG15:GG26">GF15/GE15</f>
        <v>0.10810810810810811</v>
      </c>
      <c r="GH15" s="264"/>
      <c r="GI15" s="202">
        <f>SUM(FO15+GB15)</f>
        <v>573</v>
      </c>
      <c r="GJ15" s="266"/>
      <c r="GK15" s="252"/>
      <c r="GL15" s="255">
        <f>SUM(FR15+GE15)</f>
        <v>579</v>
      </c>
      <c r="GM15" s="254">
        <f t="shared" si="9"/>
        <v>6</v>
      </c>
      <c r="GN15" s="186">
        <f aca="true" t="shared" si="41" ref="GN15:GN26">GM15/GL15</f>
        <v>0.010362694300518135</v>
      </c>
      <c r="GO15" s="178"/>
      <c r="GP15" s="187"/>
      <c r="GQ15" s="178"/>
      <c r="GR15" s="178"/>
      <c r="GS15" s="242"/>
      <c r="GT15" s="244" t="s">
        <v>40</v>
      </c>
      <c r="GU15" s="180"/>
      <c r="GV15" s="181">
        <v>36</v>
      </c>
      <c r="GW15" s="180"/>
      <c r="GX15" s="180"/>
      <c r="GY15" s="181">
        <v>56</v>
      </c>
      <c r="GZ15" s="249">
        <f aca="true" t="shared" si="42" ref="GZ15:GZ26">GY15-GV15</f>
        <v>20</v>
      </c>
      <c r="HA15" s="183">
        <f aca="true" t="shared" si="43" ref="HA15:HA26">GZ15/GY15</f>
        <v>0.35714285714285715</v>
      </c>
      <c r="HB15" s="264"/>
      <c r="HC15" s="202">
        <f>SUM(GI15+GV15)</f>
        <v>609</v>
      </c>
      <c r="HD15" s="266"/>
      <c r="HE15" s="252"/>
      <c r="HF15" s="255">
        <f>SUM(GL15+GY15)</f>
        <v>635</v>
      </c>
      <c r="HG15" s="254">
        <f t="shared" si="10"/>
        <v>26</v>
      </c>
      <c r="HH15" s="186">
        <f aca="true" t="shared" si="44" ref="HH15:HH26">HG15/HF15</f>
        <v>0.04094488188976378</v>
      </c>
      <c r="HI15" s="178"/>
      <c r="HJ15" s="187"/>
      <c r="HK15" s="178"/>
      <c r="HL15" s="178"/>
      <c r="HM15" s="242"/>
      <c r="HN15" s="244" t="s">
        <v>40</v>
      </c>
      <c r="HO15" s="180"/>
      <c r="HP15" s="181">
        <v>52</v>
      </c>
      <c r="HQ15" s="180"/>
      <c r="HR15" s="180"/>
      <c r="HS15" s="181">
        <v>83</v>
      </c>
      <c r="HT15" s="249">
        <f aca="true" t="shared" si="45" ref="HT15:HT26">HS15-HP15</f>
        <v>31</v>
      </c>
      <c r="HU15" s="183">
        <f aca="true" t="shared" si="46" ref="HU15:HU26">HT15/HS15</f>
        <v>0.37349397590361444</v>
      </c>
      <c r="HV15" s="264"/>
      <c r="HW15" s="202">
        <f>SUM(HC15+HP15)</f>
        <v>661</v>
      </c>
      <c r="HX15" s="266"/>
      <c r="HY15" s="252"/>
      <c r="HZ15" s="255">
        <f>SUM(HF15+HS15)</f>
        <v>718</v>
      </c>
      <c r="IA15" s="254">
        <f t="shared" si="11"/>
        <v>57</v>
      </c>
      <c r="IB15" s="186">
        <f aca="true" t="shared" si="47" ref="IB15:IB26">IA15/HZ15</f>
        <v>0.07938718662952646</v>
      </c>
      <c r="IC15" s="178"/>
      <c r="ID15" s="187"/>
      <c r="IE15" s="178"/>
      <c r="IF15" s="178"/>
    </row>
    <row r="16" spans="1:240" ht="13.5" thickBot="1">
      <c r="A16" s="242"/>
      <c r="B16" s="244" t="s">
        <v>211</v>
      </c>
      <c r="C16" s="180"/>
      <c r="D16" s="181">
        <v>63</v>
      </c>
      <c r="E16" s="180"/>
      <c r="F16" s="180"/>
      <c r="G16" s="195">
        <v>14</v>
      </c>
      <c r="H16" s="249">
        <f t="shared" si="12"/>
        <v>-49</v>
      </c>
      <c r="I16" s="183">
        <f t="shared" si="13"/>
        <v>-3.5</v>
      </c>
      <c r="J16" s="180"/>
      <c r="K16" s="181">
        <f>SUM(D16)</f>
        <v>63</v>
      </c>
      <c r="L16" s="180"/>
      <c r="M16" s="252"/>
      <c r="N16" s="255">
        <f>SUM(G16)</f>
        <v>14</v>
      </c>
      <c r="O16" s="254">
        <f t="shared" si="0"/>
        <v>-49</v>
      </c>
      <c r="P16" s="186">
        <f t="shared" si="14"/>
        <v>-3.5</v>
      </c>
      <c r="Q16" s="178"/>
      <c r="R16" s="196">
        <f>K16/$B$50*365</f>
        <v>63.00000000000001</v>
      </c>
      <c r="S16" s="178"/>
      <c r="T16" s="178"/>
      <c r="U16" s="242"/>
      <c r="V16" s="244" t="s">
        <v>211</v>
      </c>
      <c r="W16" s="180"/>
      <c r="X16" s="181">
        <v>80</v>
      </c>
      <c r="Y16" s="180"/>
      <c r="Z16" s="180"/>
      <c r="AA16" s="181">
        <v>0</v>
      </c>
      <c r="AB16" s="249">
        <f t="shared" si="15"/>
        <v>-80</v>
      </c>
      <c r="AC16" s="183">
        <v>0</v>
      </c>
      <c r="AD16" s="264"/>
      <c r="AE16" s="181">
        <f>SUM(K16+X16)</f>
        <v>143</v>
      </c>
      <c r="AF16" s="266"/>
      <c r="AG16" s="252"/>
      <c r="AH16" s="195">
        <f>SUM(N16+AA16)</f>
        <v>14</v>
      </c>
      <c r="AI16" s="195">
        <f>SUM(O16+AB16)</f>
        <v>-129</v>
      </c>
      <c r="AJ16" s="186"/>
      <c r="AK16" s="178"/>
      <c r="AL16" s="187"/>
      <c r="AM16" s="178"/>
      <c r="AN16" s="178"/>
      <c r="AO16" s="242"/>
      <c r="AP16" s="244"/>
      <c r="AQ16" s="180"/>
      <c r="AR16" s="181"/>
      <c r="AS16" s="180"/>
      <c r="AT16" s="180"/>
      <c r="AU16" s="181"/>
      <c r="AV16" s="249"/>
      <c r="AW16" s="183"/>
      <c r="AX16" s="264"/>
      <c r="AY16" s="202"/>
      <c r="AZ16" s="266"/>
      <c r="BA16" s="252"/>
      <c r="BB16" s="195"/>
      <c r="BC16" s="254"/>
      <c r="BD16" s="186"/>
      <c r="BE16" s="178"/>
      <c r="BF16" s="187"/>
      <c r="BG16" s="178"/>
      <c r="BH16" s="178"/>
      <c r="BI16" s="242"/>
      <c r="BJ16" s="244"/>
      <c r="BK16" s="180"/>
      <c r="BL16" s="181"/>
      <c r="BM16" s="180"/>
      <c r="BN16" s="180"/>
      <c r="BO16" s="181"/>
      <c r="BP16" s="249"/>
      <c r="BQ16" s="183"/>
      <c r="BR16" s="264"/>
      <c r="BS16" s="181"/>
      <c r="BT16" s="266"/>
      <c r="BU16" s="252"/>
      <c r="BV16" s="195"/>
      <c r="BW16" s="254"/>
      <c r="BX16" s="186"/>
      <c r="BY16" s="178"/>
      <c r="BZ16" s="187"/>
      <c r="CA16" s="178"/>
      <c r="CB16" s="178"/>
      <c r="CC16" s="242"/>
      <c r="CD16" s="244"/>
      <c r="CE16" s="180"/>
      <c r="CF16" s="181"/>
      <c r="CG16" s="180"/>
      <c r="CH16" s="180"/>
      <c r="CI16" s="181"/>
      <c r="CJ16" s="249"/>
      <c r="CK16" s="183"/>
      <c r="CL16" s="264"/>
      <c r="CM16" s="181"/>
      <c r="CN16" s="266"/>
      <c r="CO16" s="252"/>
      <c r="CP16" s="195"/>
      <c r="CQ16" s="254"/>
      <c r="CR16" s="186"/>
      <c r="CS16" s="178"/>
      <c r="CT16" s="187"/>
      <c r="CU16" s="178"/>
      <c r="CV16" s="178"/>
      <c r="CW16" s="242"/>
      <c r="CX16" s="244"/>
      <c r="CY16" s="180"/>
      <c r="CZ16" s="181"/>
      <c r="DA16" s="180"/>
      <c r="DB16" s="180"/>
      <c r="DC16" s="181"/>
      <c r="DD16" s="249"/>
      <c r="DE16" s="183"/>
      <c r="DF16" s="264"/>
      <c r="DG16" s="181"/>
      <c r="DH16" s="266"/>
      <c r="DI16" s="252"/>
      <c r="DJ16" s="195"/>
      <c r="DK16" s="254"/>
      <c r="DL16" s="186"/>
      <c r="DM16" s="178"/>
      <c r="DN16" s="187"/>
      <c r="DO16" s="178"/>
      <c r="DP16" s="178"/>
      <c r="DQ16" s="242"/>
      <c r="DR16" s="244"/>
      <c r="DS16" s="180"/>
      <c r="DT16" s="181"/>
      <c r="DU16" s="180"/>
      <c r="DV16" s="180"/>
      <c r="DW16" s="181"/>
      <c r="DX16" s="249"/>
      <c r="DY16" s="183"/>
      <c r="DZ16" s="264"/>
      <c r="EA16" s="181"/>
      <c r="EB16" s="266"/>
      <c r="EC16" s="252"/>
      <c r="ED16" s="195"/>
      <c r="EE16" s="254"/>
      <c r="EF16" s="186"/>
      <c r="EG16" s="178"/>
      <c r="EH16" s="187"/>
      <c r="EI16" s="178"/>
      <c r="EJ16" s="178"/>
      <c r="EK16" s="242"/>
      <c r="EL16" s="244"/>
      <c r="EM16" s="180"/>
      <c r="EN16" s="181"/>
      <c r="EO16" s="180"/>
      <c r="EP16" s="180"/>
      <c r="EQ16" s="181"/>
      <c r="ER16" s="249"/>
      <c r="ES16" s="183"/>
      <c r="ET16" s="264"/>
      <c r="EU16" s="181"/>
      <c r="EV16" s="266"/>
      <c r="EW16" s="252"/>
      <c r="EX16" s="195"/>
      <c r="EY16" s="254"/>
      <c r="EZ16" s="186"/>
      <c r="FA16" s="178"/>
      <c r="FB16" s="187"/>
      <c r="FC16" s="178"/>
      <c r="FD16" s="178"/>
      <c r="FE16" s="242"/>
      <c r="FF16" s="244"/>
      <c r="FG16" s="180"/>
      <c r="FH16" s="181"/>
      <c r="FI16" s="180"/>
      <c r="FJ16" s="180"/>
      <c r="FK16" s="181"/>
      <c r="FL16" s="249"/>
      <c r="FM16" s="183"/>
      <c r="FN16" s="264"/>
      <c r="FO16" s="181"/>
      <c r="FP16" s="266"/>
      <c r="FQ16" s="252"/>
      <c r="FR16" s="195"/>
      <c r="FS16" s="254"/>
      <c r="FT16" s="186"/>
      <c r="FU16" s="178"/>
      <c r="FV16" s="187"/>
      <c r="FW16" s="178"/>
      <c r="FX16" s="178"/>
      <c r="FY16" s="242"/>
      <c r="FZ16" s="244"/>
      <c r="GA16" s="180"/>
      <c r="GB16" s="181"/>
      <c r="GC16" s="180"/>
      <c r="GD16" s="180"/>
      <c r="GE16" s="181"/>
      <c r="GF16" s="249"/>
      <c r="GG16" s="183"/>
      <c r="GH16" s="264"/>
      <c r="GI16" s="181"/>
      <c r="GJ16" s="266"/>
      <c r="GK16" s="252"/>
      <c r="GL16" s="195"/>
      <c r="GM16" s="254"/>
      <c r="GN16" s="186"/>
      <c r="GO16" s="178"/>
      <c r="GP16" s="187"/>
      <c r="GQ16" s="178"/>
      <c r="GR16" s="178"/>
      <c r="GS16" s="242"/>
      <c r="GT16" s="244"/>
      <c r="GU16" s="180"/>
      <c r="GV16" s="181"/>
      <c r="GW16" s="180"/>
      <c r="GX16" s="180"/>
      <c r="GY16" s="181"/>
      <c r="GZ16" s="249"/>
      <c r="HA16" s="183"/>
      <c r="HB16" s="264"/>
      <c r="HC16" s="181"/>
      <c r="HD16" s="266"/>
      <c r="HE16" s="252"/>
      <c r="HF16" s="195"/>
      <c r="HG16" s="254"/>
      <c r="HH16" s="186"/>
      <c r="HI16" s="178"/>
      <c r="HJ16" s="187"/>
      <c r="HK16" s="178"/>
      <c r="HL16" s="178"/>
      <c r="HM16" s="242"/>
      <c r="HN16" s="244"/>
      <c r="HO16" s="180"/>
      <c r="HP16" s="181"/>
      <c r="HQ16" s="180"/>
      <c r="HR16" s="180"/>
      <c r="HS16" s="181"/>
      <c r="HT16" s="249"/>
      <c r="HU16" s="183"/>
      <c r="HV16" s="264"/>
      <c r="HW16" s="181"/>
      <c r="HX16" s="266"/>
      <c r="HY16" s="252"/>
      <c r="HZ16" s="195"/>
      <c r="IA16" s="254"/>
      <c r="IB16" s="186"/>
      <c r="IC16" s="178"/>
      <c r="ID16" s="187"/>
      <c r="IE16" s="178"/>
      <c r="IF16" s="178"/>
    </row>
    <row r="17" spans="1:240" ht="13.5" thickBot="1">
      <c r="A17" s="243"/>
      <c r="B17" s="361" t="s">
        <v>26</v>
      </c>
      <c r="C17" s="189"/>
      <c r="D17" s="190">
        <f>SUM(D14:D16)</f>
        <v>1796</v>
      </c>
      <c r="E17" s="189"/>
      <c r="F17" s="189"/>
      <c r="G17" s="190">
        <f>SUM(G14:G16)</f>
        <v>1984</v>
      </c>
      <c r="H17" s="190">
        <f>SUM(H14:H16)</f>
        <v>188</v>
      </c>
      <c r="I17" s="192">
        <f t="shared" si="13"/>
        <v>0.09475806451612903</v>
      </c>
      <c r="J17" s="189"/>
      <c r="K17" s="190">
        <f>SUM(K14:K15)</f>
        <v>1733</v>
      </c>
      <c r="L17" s="189"/>
      <c r="M17" s="193"/>
      <c r="N17" s="195">
        <f>SUM(N14:N15)</f>
        <v>1970</v>
      </c>
      <c r="O17" s="185">
        <f t="shared" si="0"/>
        <v>237</v>
      </c>
      <c r="P17" s="192">
        <f t="shared" si="14"/>
        <v>0.12030456852791878</v>
      </c>
      <c r="Q17" s="178"/>
      <c r="R17" s="194">
        <f>SUM(R14:R15)</f>
        <v>1733</v>
      </c>
      <c r="S17" s="178"/>
      <c r="T17" s="178"/>
      <c r="U17" s="243"/>
      <c r="V17" s="233" t="s">
        <v>26</v>
      </c>
      <c r="W17" s="189"/>
      <c r="X17" s="190">
        <f>SUM(X14:X16)</f>
        <v>1344</v>
      </c>
      <c r="Y17" s="189"/>
      <c r="Z17" s="189"/>
      <c r="AA17" s="190">
        <f>SUM(AA14:AA16)</f>
        <v>1429</v>
      </c>
      <c r="AB17" s="190">
        <f>SUM(AB14:AB16)</f>
        <v>85</v>
      </c>
      <c r="AC17" s="190">
        <f>SUM(AC14:AC16)</f>
        <v>0.08019816622301096</v>
      </c>
      <c r="AD17" s="189"/>
      <c r="AE17" s="190">
        <f>SUM(AE14:AE16)</f>
        <v>3140</v>
      </c>
      <c r="AF17" s="189"/>
      <c r="AG17" s="193"/>
      <c r="AH17" s="190">
        <f>SUM(AH14:AH16)</f>
        <v>3413</v>
      </c>
      <c r="AI17" s="374">
        <f t="shared" si="1"/>
        <v>273</v>
      </c>
      <c r="AJ17" s="192">
        <f t="shared" si="17"/>
        <v>0.07998828010547905</v>
      </c>
      <c r="AK17" s="178"/>
      <c r="AL17" s="194">
        <f>SUM(AL14:AL15)</f>
        <v>0</v>
      </c>
      <c r="AM17" s="178"/>
      <c r="AN17" s="178"/>
      <c r="AO17" s="243"/>
      <c r="AP17" s="233" t="s">
        <v>26</v>
      </c>
      <c r="AQ17" s="189"/>
      <c r="AR17" s="190">
        <f>SUM(AR14:AR15)</f>
        <v>1473</v>
      </c>
      <c r="AS17" s="189"/>
      <c r="AT17" s="189"/>
      <c r="AU17" s="190">
        <f>SUM(AU14:AU15)</f>
        <v>1431</v>
      </c>
      <c r="AV17" s="250">
        <f t="shared" si="18"/>
        <v>-42</v>
      </c>
      <c r="AW17" s="192">
        <f t="shared" si="19"/>
        <v>-0.029350104821802937</v>
      </c>
      <c r="AX17" s="189"/>
      <c r="AY17" s="190">
        <f>SUM(AY14:AY15)</f>
        <v>4470</v>
      </c>
      <c r="AZ17" s="189"/>
      <c r="BA17" s="193"/>
      <c r="BB17" s="429">
        <f>SUM(BB14:BB15)</f>
        <v>4830</v>
      </c>
      <c r="BC17" s="185">
        <f t="shared" si="2"/>
        <v>360</v>
      </c>
      <c r="BD17" s="192">
        <f t="shared" si="20"/>
        <v>0.07453416149068323</v>
      </c>
      <c r="BE17" s="178"/>
      <c r="BF17" s="194">
        <f>SUM(BF14:BF15)</f>
        <v>0</v>
      </c>
      <c r="BG17" s="178"/>
      <c r="BH17" s="178"/>
      <c r="BI17" s="243"/>
      <c r="BJ17" s="233" t="s">
        <v>26</v>
      </c>
      <c r="BK17" s="189"/>
      <c r="BL17" s="190">
        <f>SUM(BL14:BL15)</f>
        <v>1375</v>
      </c>
      <c r="BM17" s="189"/>
      <c r="BN17" s="189"/>
      <c r="BO17" s="190">
        <f>SUM(BO14:BO15)</f>
        <v>1284</v>
      </c>
      <c r="BP17" s="250">
        <f t="shared" si="21"/>
        <v>-91</v>
      </c>
      <c r="BQ17" s="192">
        <f t="shared" si="22"/>
        <v>-0.07087227414330217</v>
      </c>
      <c r="BR17" s="189"/>
      <c r="BS17" s="181">
        <f>SUM(BS14:BS15)</f>
        <v>5845</v>
      </c>
      <c r="BT17" s="189"/>
      <c r="BU17" s="193"/>
      <c r="BV17" s="195">
        <f>SUM(BV14:BV15)</f>
        <v>6114</v>
      </c>
      <c r="BW17" s="185">
        <f t="shared" si="3"/>
        <v>269</v>
      </c>
      <c r="BX17" s="192">
        <f t="shared" si="23"/>
        <v>0.04399738305528296</v>
      </c>
      <c r="BY17" s="178"/>
      <c r="BZ17" s="194">
        <f>SUM(BZ14:BZ15)</f>
        <v>0</v>
      </c>
      <c r="CA17" s="178"/>
      <c r="CB17" s="178"/>
      <c r="CC17" s="243"/>
      <c r="CD17" s="233" t="s">
        <v>26</v>
      </c>
      <c r="CE17" s="189"/>
      <c r="CF17" s="190">
        <f>SUM(CF14:CF15)</f>
        <v>1440</v>
      </c>
      <c r="CG17" s="189"/>
      <c r="CH17" s="189"/>
      <c r="CI17" s="190">
        <f>SUM(CI14:CI15)</f>
        <v>1489</v>
      </c>
      <c r="CJ17" s="250">
        <f t="shared" si="24"/>
        <v>49</v>
      </c>
      <c r="CK17" s="192">
        <f t="shared" si="25"/>
        <v>0.03290799194089993</v>
      </c>
      <c r="CL17" s="189"/>
      <c r="CM17" s="181">
        <f>SUM(CM14:CM15)</f>
        <v>7285</v>
      </c>
      <c r="CN17" s="189"/>
      <c r="CO17" s="193"/>
      <c r="CP17" s="195">
        <f>SUM(CP14:CP15)</f>
        <v>7603</v>
      </c>
      <c r="CQ17" s="185">
        <f t="shared" si="4"/>
        <v>318</v>
      </c>
      <c r="CR17" s="192">
        <f t="shared" si="26"/>
        <v>0.04182559515980534</v>
      </c>
      <c r="CS17" s="178"/>
      <c r="CT17" s="194">
        <f>SUM(CT14:CT15)</f>
        <v>0</v>
      </c>
      <c r="CU17" s="178"/>
      <c r="CV17" s="178"/>
      <c r="CW17" s="243"/>
      <c r="CX17" s="233" t="s">
        <v>26</v>
      </c>
      <c r="CY17" s="189"/>
      <c r="CZ17" s="190">
        <f>SUM(CZ14:CZ15)</f>
        <v>1489</v>
      </c>
      <c r="DA17" s="189"/>
      <c r="DB17" s="189"/>
      <c r="DC17" s="190">
        <f>SUM(DC14:DC15)</f>
        <v>1267</v>
      </c>
      <c r="DD17" s="250">
        <f t="shared" si="27"/>
        <v>-222</v>
      </c>
      <c r="DE17" s="192">
        <f t="shared" si="28"/>
        <v>-0.17521704814522493</v>
      </c>
      <c r="DF17" s="189"/>
      <c r="DG17" s="181">
        <f>SUM(DG14:DG15)</f>
        <v>8774</v>
      </c>
      <c r="DH17" s="189"/>
      <c r="DI17" s="193"/>
      <c r="DJ17" s="195">
        <f>SUM(DJ14:DJ15)</f>
        <v>8870</v>
      </c>
      <c r="DK17" s="185">
        <f t="shared" si="5"/>
        <v>96</v>
      </c>
      <c r="DL17" s="192">
        <f t="shared" si="29"/>
        <v>0.010822998872604284</v>
      </c>
      <c r="DM17" s="178"/>
      <c r="DN17" s="194">
        <f>SUM(DN14:DN15)</f>
        <v>0</v>
      </c>
      <c r="DO17" s="178"/>
      <c r="DP17" s="178"/>
      <c r="DQ17" s="243"/>
      <c r="DR17" s="233" t="s">
        <v>26</v>
      </c>
      <c r="DS17" s="189"/>
      <c r="DT17" s="190">
        <f>SUM(DT14:DT15)</f>
        <v>1629</v>
      </c>
      <c r="DU17" s="189"/>
      <c r="DV17" s="189"/>
      <c r="DW17" s="190">
        <f>SUM(DW14:DW15)</f>
        <v>1310</v>
      </c>
      <c r="DX17" s="250">
        <f t="shared" si="30"/>
        <v>-319</v>
      </c>
      <c r="DY17" s="192">
        <f t="shared" si="31"/>
        <v>-0.2435114503816794</v>
      </c>
      <c r="DZ17" s="189"/>
      <c r="EA17" s="181">
        <f>SUM(EA14:EA15)</f>
        <v>10403</v>
      </c>
      <c r="EB17" s="189"/>
      <c r="EC17" s="193"/>
      <c r="ED17" s="195">
        <f>SUM(ED14:ED15)</f>
        <v>10180</v>
      </c>
      <c r="EE17" s="185">
        <f t="shared" si="6"/>
        <v>-223</v>
      </c>
      <c r="EF17" s="192">
        <f t="shared" si="32"/>
        <v>-0.021905697445972497</v>
      </c>
      <c r="EG17" s="178"/>
      <c r="EH17" s="194">
        <f>SUM(EH14:EH15)</f>
        <v>0</v>
      </c>
      <c r="EI17" s="178"/>
      <c r="EJ17" s="178"/>
      <c r="EK17" s="243"/>
      <c r="EL17" s="233" t="s">
        <v>26</v>
      </c>
      <c r="EM17" s="189"/>
      <c r="EN17" s="190">
        <f>SUM(EN14:EN15)</f>
        <v>2184</v>
      </c>
      <c r="EO17" s="189"/>
      <c r="EP17" s="189"/>
      <c r="EQ17" s="190">
        <f>SUM(EQ14:EQ15)</f>
        <v>1339</v>
      </c>
      <c r="ER17" s="250">
        <f t="shared" si="33"/>
        <v>-845</v>
      </c>
      <c r="ES17" s="192">
        <f t="shared" si="34"/>
        <v>-0.6310679611650486</v>
      </c>
      <c r="ET17" s="189"/>
      <c r="EU17" s="181">
        <f>SUM(EU14:EU15)</f>
        <v>12587</v>
      </c>
      <c r="EV17" s="189"/>
      <c r="EW17" s="193"/>
      <c r="EX17" s="195">
        <f>SUM(EX14:EX15)</f>
        <v>11519</v>
      </c>
      <c r="EY17" s="185">
        <f t="shared" si="7"/>
        <v>-1068</v>
      </c>
      <c r="EZ17" s="192">
        <f t="shared" si="35"/>
        <v>-0.09271638163034986</v>
      </c>
      <c r="FA17" s="178"/>
      <c r="FB17" s="194">
        <f>SUM(FB14:FB15)</f>
        <v>0</v>
      </c>
      <c r="FC17" s="178"/>
      <c r="FD17" s="178"/>
      <c r="FE17" s="243"/>
      <c r="FF17" s="233" t="s">
        <v>26</v>
      </c>
      <c r="FG17" s="189"/>
      <c r="FH17" s="190">
        <f>SUM(FH14:FH15)</f>
        <v>1318</v>
      </c>
      <c r="FI17" s="189"/>
      <c r="FJ17" s="189"/>
      <c r="FK17" s="190">
        <f>SUM(FK14:FK15)</f>
        <v>1403</v>
      </c>
      <c r="FL17" s="250">
        <f t="shared" si="36"/>
        <v>85</v>
      </c>
      <c r="FM17" s="192">
        <f t="shared" si="37"/>
        <v>0.06058446186742694</v>
      </c>
      <c r="FN17" s="189"/>
      <c r="FO17" s="181">
        <f>SUM(FO14:FO15)</f>
        <v>13905</v>
      </c>
      <c r="FP17" s="189"/>
      <c r="FQ17" s="193"/>
      <c r="FR17" s="195">
        <f>SUM(FR14:FR15)</f>
        <v>12922</v>
      </c>
      <c r="FS17" s="185">
        <f t="shared" si="8"/>
        <v>-983</v>
      </c>
      <c r="FT17" s="192">
        <f t="shared" si="38"/>
        <v>-0.07607181550843523</v>
      </c>
      <c r="FU17" s="178"/>
      <c r="FV17" s="194">
        <f>SUM(FV14:FV15)</f>
        <v>0</v>
      </c>
      <c r="FW17" s="178"/>
      <c r="FX17" s="178"/>
      <c r="FY17" s="243"/>
      <c r="FZ17" s="233" t="s">
        <v>26</v>
      </c>
      <c r="GA17" s="189"/>
      <c r="GB17" s="190">
        <f>SUM(GB14:GB15)</f>
        <v>1377</v>
      </c>
      <c r="GC17" s="189"/>
      <c r="GD17" s="189"/>
      <c r="GE17" s="190">
        <f>SUM(GE14:GE15)</f>
        <v>1183</v>
      </c>
      <c r="GF17" s="250">
        <f t="shared" si="39"/>
        <v>-194</v>
      </c>
      <c r="GG17" s="192">
        <f t="shared" si="40"/>
        <v>-0.16398985629754861</v>
      </c>
      <c r="GH17" s="189"/>
      <c r="GI17" s="181">
        <f>SUM(GI14:GI15)</f>
        <v>15282</v>
      </c>
      <c r="GJ17" s="189"/>
      <c r="GK17" s="193"/>
      <c r="GL17" s="195">
        <f>SUM(GL14:GL15)</f>
        <v>14105</v>
      </c>
      <c r="GM17" s="185">
        <f t="shared" si="9"/>
        <v>-1177</v>
      </c>
      <c r="GN17" s="192">
        <f t="shared" si="41"/>
        <v>-0.08344558667139312</v>
      </c>
      <c r="GO17" s="178"/>
      <c r="GP17" s="194">
        <f>SUM(GP14:GP15)</f>
        <v>0</v>
      </c>
      <c r="GQ17" s="178"/>
      <c r="GR17" s="178"/>
      <c r="GS17" s="243"/>
      <c r="GT17" s="233" t="s">
        <v>26</v>
      </c>
      <c r="GU17" s="189"/>
      <c r="GV17" s="190">
        <f>SUM(GV14:GV15)</f>
        <v>1210</v>
      </c>
      <c r="GW17" s="189"/>
      <c r="GX17" s="189"/>
      <c r="GY17" s="190">
        <f>SUM(GY14:GY15)</f>
        <v>1419</v>
      </c>
      <c r="GZ17" s="250">
        <f t="shared" si="42"/>
        <v>209</v>
      </c>
      <c r="HA17" s="192">
        <f t="shared" si="43"/>
        <v>0.14728682170542637</v>
      </c>
      <c r="HB17" s="189"/>
      <c r="HC17" s="181">
        <f>SUM(HC14:HC15)</f>
        <v>16492</v>
      </c>
      <c r="HD17" s="189"/>
      <c r="HE17" s="193"/>
      <c r="HF17" s="195">
        <f>SUM(HF14:HF15)</f>
        <v>15524</v>
      </c>
      <c r="HG17" s="185">
        <f t="shared" si="10"/>
        <v>-968</v>
      </c>
      <c r="HH17" s="192">
        <f t="shared" si="44"/>
        <v>-0.06235506312805978</v>
      </c>
      <c r="HI17" s="178"/>
      <c r="HJ17" s="194">
        <f>SUM(HJ14:HJ15)</f>
        <v>0</v>
      </c>
      <c r="HK17" s="178"/>
      <c r="HL17" s="178"/>
      <c r="HM17" s="243"/>
      <c r="HN17" s="233" t="s">
        <v>26</v>
      </c>
      <c r="HO17" s="189"/>
      <c r="HP17" s="190">
        <f>SUM(HP14:HP15)</f>
        <v>1630</v>
      </c>
      <c r="HQ17" s="189"/>
      <c r="HR17" s="189"/>
      <c r="HS17" s="190">
        <f>SUM(HS14:HS15)</f>
        <v>1408</v>
      </c>
      <c r="HT17" s="250">
        <f t="shared" si="45"/>
        <v>-222</v>
      </c>
      <c r="HU17" s="192">
        <f t="shared" si="46"/>
        <v>-0.15767045454545456</v>
      </c>
      <c r="HV17" s="189"/>
      <c r="HW17" s="181">
        <f>SUM(HW14:HW15)</f>
        <v>18122</v>
      </c>
      <c r="HX17" s="189"/>
      <c r="HY17" s="193"/>
      <c r="HZ17" s="195">
        <f>SUM(HZ14:HZ15)</f>
        <v>16932</v>
      </c>
      <c r="IA17" s="185">
        <f t="shared" si="11"/>
        <v>-1190</v>
      </c>
      <c r="IB17" s="192">
        <f t="shared" si="47"/>
        <v>-0.07028112449799197</v>
      </c>
      <c r="IC17" s="178"/>
      <c r="ID17" s="194">
        <f>SUM(ID14:ID15)</f>
        <v>0</v>
      </c>
      <c r="IE17" s="178"/>
      <c r="IF17" s="178"/>
    </row>
    <row r="18" spans="1:240" ht="13.5" thickBot="1">
      <c r="A18" s="245" t="s">
        <v>41</v>
      </c>
      <c r="B18" s="365" t="s">
        <v>42</v>
      </c>
      <c r="C18" s="180"/>
      <c r="D18" s="181">
        <v>551</v>
      </c>
      <c r="E18" s="180"/>
      <c r="F18" s="180"/>
      <c r="G18" s="181">
        <v>510</v>
      </c>
      <c r="H18" s="249">
        <f t="shared" si="12"/>
        <v>-41</v>
      </c>
      <c r="I18" s="183">
        <f t="shared" si="13"/>
        <v>-0.0803921568627451</v>
      </c>
      <c r="J18" s="180"/>
      <c r="K18" s="181">
        <f>SUM(D18)</f>
        <v>551</v>
      </c>
      <c r="L18" s="180"/>
      <c r="M18" s="252"/>
      <c r="N18" s="256">
        <f>SUM(G18)</f>
        <v>510</v>
      </c>
      <c r="O18" s="257">
        <f t="shared" si="0"/>
        <v>-41</v>
      </c>
      <c r="P18" s="183">
        <f t="shared" si="14"/>
        <v>-0.0803921568627451</v>
      </c>
      <c r="Q18" s="178"/>
      <c r="R18" s="196">
        <f>K18/$B$50*365</f>
        <v>551</v>
      </c>
      <c r="S18" s="178"/>
      <c r="T18" s="178"/>
      <c r="U18" s="370" t="s">
        <v>41</v>
      </c>
      <c r="V18" s="370" t="s">
        <v>42</v>
      </c>
      <c r="W18" s="180"/>
      <c r="X18" s="181">
        <v>592</v>
      </c>
      <c r="Y18" s="180"/>
      <c r="Z18" s="180"/>
      <c r="AA18" s="181">
        <v>569</v>
      </c>
      <c r="AB18" s="249">
        <f t="shared" si="15"/>
        <v>-23</v>
      </c>
      <c r="AC18" s="183">
        <f t="shared" si="16"/>
        <v>-0.040421792618629174</v>
      </c>
      <c r="AD18" s="264"/>
      <c r="AE18" s="173">
        <f>SUM(K18+X18)</f>
        <v>1143</v>
      </c>
      <c r="AF18" s="266"/>
      <c r="AG18" s="252"/>
      <c r="AH18" s="256">
        <f>SUM(N18+AA18)</f>
        <v>1079</v>
      </c>
      <c r="AI18" s="257">
        <f t="shared" si="1"/>
        <v>-64</v>
      </c>
      <c r="AJ18" s="183">
        <f t="shared" si="17"/>
        <v>-0.05931417979610751</v>
      </c>
      <c r="AK18" s="178"/>
      <c r="AL18" s="179"/>
      <c r="AM18" s="178"/>
      <c r="AN18" s="178"/>
      <c r="AO18" s="245" t="s">
        <v>41</v>
      </c>
      <c r="AP18" s="245" t="s">
        <v>42</v>
      </c>
      <c r="AQ18" s="180"/>
      <c r="AR18" s="181">
        <v>521</v>
      </c>
      <c r="AS18" s="180"/>
      <c r="AT18" s="180"/>
      <c r="AU18" s="181">
        <v>581</v>
      </c>
      <c r="AV18" s="249">
        <f t="shared" si="18"/>
        <v>60</v>
      </c>
      <c r="AW18" s="183">
        <f t="shared" si="19"/>
        <v>0.10327022375215146</v>
      </c>
      <c r="AX18" s="264"/>
      <c r="AY18" s="173">
        <f>SUM(AE18+AR18)</f>
        <v>1664</v>
      </c>
      <c r="AZ18" s="266"/>
      <c r="BA18" s="252"/>
      <c r="BB18" s="256">
        <f>SUM(AH18+AU18)</f>
        <v>1660</v>
      </c>
      <c r="BC18" s="257">
        <f t="shared" si="2"/>
        <v>-4</v>
      </c>
      <c r="BD18" s="183">
        <f t="shared" si="20"/>
        <v>-0.0024096385542168677</v>
      </c>
      <c r="BE18" s="178"/>
      <c r="BF18" s="179"/>
      <c r="BG18" s="178"/>
      <c r="BH18" s="178"/>
      <c r="BI18" s="245" t="s">
        <v>41</v>
      </c>
      <c r="BJ18" s="245" t="s">
        <v>42</v>
      </c>
      <c r="BK18" s="180"/>
      <c r="BL18" s="181">
        <v>591</v>
      </c>
      <c r="BM18" s="180"/>
      <c r="BN18" s="180"/>
      <c r="BO18" s="181">
        <v>534</v>
      </c>
      <c r="BP18" s="249">
        <f t="shared" si="21"/>
        <v>-57</v>
      </c>
      <c r="BQ18" s="183">
        <f t="shared" si="22"/>
        <v>-0.10674157303370786</v>
      </c>
      <c r="BR18" s="264"/>
      <c r="BS18" s="173">
        <f>SUM(AY18+BL18)</f>
        <v>2255</v>
      </c>
      <c r="BT18" s="266"/>
      <c r="BU18" s="252"/>
      <c r="BV18" s="256">
        <f>SUM(BB18+BO18)</f>
        <v>2194</v>
      </c>
      <c r="BW18" s="257">
        <f t="shared" si="3"/>
        <v>-61</v>
      </c>
      <c r="BX18" s="183">
        <f t="shared" si="23"/>
        <v>-0.02780309936189608</v>
      </c>
      <c r="BY18" s="178"/>
      <c r="BZ18" s="179"/>
      <c r="CA18" s="178"/>
      <c r="CB18" s="178"/>
      <c r="CC18" s="245" t="s">
        <v>41</v>
      </c>
      <c r="CD18" s="245" t="s">
        <v>42</v>
      </c>
      <c r="CE18" s="180"/>
      <c r="CF18" s="181">
        <v>516</v>
      </c>
      <c r="CG18" s="180"/>
      <c r="CH18" s="180"/>
      <c r="CI18" s="181">
        <v>726</v>
      </c>
      <c r="CJ18" s="249">
        <f t="shared" si="24"/>
        <v>210</v>
      </c>
      <c r="CK18" s="183">
        <f t="shared" si="25"/>
        <v>0.2892561983471074</v>
      </c>
      <c r="CL18" s="264"/>
      <c r="CM18" s="173">
        <f>SUM(BS18+CF18)</f>
        <v>2771</v>
      </c>
      <c r="CN18" s="266"/>
      <c r="CO18" s="252"/>
      <c r="CP18" s="256">
        <f>SUM(BV18+CI18)</f>
        <v>2920</v>
      </c>
      <c r="CQ18" s="257">
        <f t="shared" si="4"/>
        <v>149</v>
      </c>
      <c r="CR18" s="183">
        <f t="shared" si="26"/>
        <v>0.05102739726027397</v>
      </c>
      <c r="CS18" s="178"/>
      <c r="CT18" s="179"/>
      <c r="CU18" s="178"/>
      <c r="CV18" s="178"/>
      <c r="CW18" s="245" t="s">
        <v>41</v>
      </c>
      <c r="CX18" s="245" t="s">
        <v>42</v>
      </c>
      <c r="CY18" s="180"/>
      <c r="CZ18" s="181">
        <v>629</v>
      </c>
      <c r="DA18" s="180"/>
      <c r="DB18" s="180"/>
      <c r="DC18" s="181">
        <v>608</v>
      </c>
      <c r="DD18" s="249">
        <f t="shared" si="27"/>
        <v>-21</v>
      </c>
      <c r="DE18" s="183">
        <f t="shared" si="28"/>
        <v>-0.03453947368421053</v>
      </c>
      <c r="DF18" s="264"/>
      <c r="DG18" s="173">
        <f>SUM(CM18+CZ18)</f>
        <v>3400</v>
      </c>
      <c r="DH18" s="266"/>
      <c r="DI18" s="252"/>
      <c r="DJ18" s="256">
        <f>SUM(CP18+DC18)</f>
        <v>3528</v>
      </c>
      <c r="DK18" s="257">
        <f t="shared" si="5"/>
        <v>128</v>
      </c>
      <c r="DL18" s="183">
        <f t="shared" si="29"/>
        <v>0.036281179138321996</v>
      </c>
      <c r="DM18" s="178"/>
      <c r="DN18" s="179"/>
      <c r="DO18" s="178"/>
      <c r="DP18" s="178"/>
      <c r="DQ18" s="245" t="s">
        <v>41</v>
      </c>
      <c r="DR18" s="245" t="s">
        <v>42</v>
      </c>
      <c r="DS18" s="180"/>
      <c r="DT18" s="181">
        <v>547</v>
      </c>
      <c r="DU18" s="180"/>
      <c r="DV18" s="180"/>
      <c r="DW18" s="181">
        <v>538</v>
      </c>
      <c r="DX18" s="249">
        <f t="shared" si="30"/>
        <v>-9</v>
      </c>
      <c r="DY18" s="183">
        <f t="shared" si="31"/>
        <v>-0.016728624535315983</v>
      </c>
      <c r="DZ18" s="264"/>
      <c r="EA18" s="173">
        <f>SUM(DG18+DT18)</f>
        <v>3947</v>
      </c>
      <c r="EB18" s="266"/>
      <c r="EC18" s="252"/>
      <c r="ED18" s="256">
        <f>SUM(DJ18+DW18)</f>
        <v>4066</v>
      </c>
      <c r="EE18" s="257">
        <f t="shared" si="6"/>
        <v>119</v>
      </c>
      <c r="EF18" s="183">
        <f t="shared" si="32"/>
        <v>0.02926709296606001</v>
      </c>
      <c r="EG18" s="178"/>
      <c r="EH18" s="179"/>
      <c r="EI18" s="178"/>
      <c r="EJ18" s="178"/>
      <c r="EK18" s="245" t="s">
        <v>41</v>
      </c>
      <c r="EL18" s="245" t="s">
        <v>42</v>
      </c>
      <c r="EM18" s="180"/>
      <c r="EN18" s="181">
        <v>456</v>
      </c>
      <c r="EO18" s="180"/>
      <c r="EP18" s="180"/>
      <c r="EQ18" s="181">
        <v>519</v>
      </c>
      <c r="ER18" s="249">
        <f t="shared" si="33"/>
        <v>63</v>
      </c>
      <c r="ES18" s="183">
        <f t="shared" si="34"/>
        <v>0.12138728323699421</v>
      </c>
      <c r="ET18" s="264"/>
      <c r="EU18" s="173">
        <f>SUM(EA18+EN18)</f>
        <v>4403</v>
      </c>
      <c r="EV18" s="266"/>
      <c r="EW18" s="252"/>
      <c r="EX18" s="256">
        <f>SUM(ED18+EQ18)</f>
        <v>4585</v>
      </c>
      <c r="EY18" s="257">
        <f t="shared" si="7"/>
        <v>182</v>
      </c>
      <c r="EZ18" s="183">
        <f t="shared" si="35"/>
        <v>0.03969465648854962</v>
      </c>
      <c r="FA18" s="178"/>
      <c r="FB18" s="179"/>
      <c r="FC18" s="178"/>
      <c r="FD18" s="178"/>
      <c r="FE18" s="245" t="s">
        <v>41</v>
      </c>
      <c r="FF18" s="245" t="s">
        <v>42</v>
      </c>
      <c r="FG18" s="180"/>
      <c r="FH18" s="181">
        <v>488</v>
      </c>
      <c r="FI18" s="180"/>
      <c r="FJ18" s="180"/>
      <c r="FK18" s="181">
        <v>660</v>
      </c>
      <c r="FL18" s="249">
        <f t="shared" si="36"/>
        <v>172</v>
      </c>
      <c r="FM18" s="183">
        <f t="shared" si="37"/>
        <v>0.2606060606060606</v>
      </c>
      <c r="FN18" s="264"/>
      <c r="FO18" s="173">
        <f>SUM(EU18+FH18)</f>
        <v>4891</v>
      </c>
      <c r="FP18" s="266"/>
      <c r="FQ18" s="252"/>
      <c r="FR18" s="256">
        <f>SUM(EX18+FK18)</f>
        <v>5245</v>
      </c>
      <c r="FS18" s="257">
        <f t="shared" si="8"/>
        <v>354</v>
      </c>
      <c r="FT18" s="183">
        <f t="shared" si="38"/>
        <v>0.0674928503336511</v>
      </c>
      <c r="FU18" s="178"/>
      <c r="FV18" s="179"/>
      <c r="FW18" s="178"/>
      <c r="FX18" s="178"/>
      <c r="FY18" s="245" t="s">
        <v>41</v>
      </c>
      <c r="FZ18" s="245" t="s">
        <v>42</v>
      </c>
      <c r="GA18" s="180"/>
      <c r="GB18" s="181">
        <v>529</v>
      </c>
      <c r="GC18" s="180"/>
      <c r="GD18" s="180"/>
      <c r="GE18" s="181">
        <v>473</v>
      </c>
      <c r="GF18" s="249">
        <f t="shared" si="39"/>
        <v>-56</v>
      </c>
      <c r="GG18" s="183">
        <f t="shared" si="40"/>
        <v>-0.11839323467230443</v>
      </c>
      <c r="GH18" s="264"/>
      <c r="GI18" s="173">
        <f>SUM(FO18+GB18)</f>
        <v>5420</v>
      </c>
      <c r="GJ18" s="266"/>
      <c r="GK18" s="252"/>
      <c r="GL18" s="256">
        <f>SUM(FR18+GE18)</f>
        <v>5718</v>
      </c>
      <c r="GM18" s="257">
        <f t="shared" si="9"/>
        <v>298</v>
      </c>
      <c r="GN18" s="183">
        <f t="shared" si="41"/>
        <v>0.05211612451906261</v>
      </c>
      <c r="GO18" s="178"/>
      <c r="GP18" s="179"/>
      <c r="GQ18" s="178"/>
      <c r="GR18" s="178"/>
      <c r="GS18" s="245" t="s">
        <v>41</v>
      </c>
      <c r="GT18" s="245" t="s">
        <v>42</v>
      </c>
      <c r="GU18" s="180"/>
      <c r="GV18" s="181">
        <v>506</v>
      </c>
      <c r="GW18" s="180"/>
      <c r="GX18" s="180"/>
      <c r="GY18" s="181">
        <v>680</v>
      </c>
      <c r="GZ18" s="249">
        <f t="shared" si="42"/>
        <v>174</v>
      </c>
      <c r="HA18" s="183">
        <f t="shared" si="43"/>
        <v>0.25588235294117645</v>
      </c>
      <c r="HB18" s="264"/>
      <c r="HC18" s="173">
        <f>SUM(GI18+GV18)</f>
        <v>5926</v>
      </c>
      <c r="HD18" s="266"/>
      <c r="HE18" s="252"/>
      <c r="HF18" s="256">
        <f>SUM(GL18+GY18)</f>
        <v>6398</v>
      </c>
      <c r="HG18" s="257">
        <f t="shared" si="10"/>
        <v>472</v>
      </c>
      <c r="HH18" s="183">
        <f t="shared" si="44"/>
        <v>0.07377305407939981</v>
      </c>
      <c r="HI18" s="178"/>
      <c r="HJ18" s="179"/>
      <c r="HK18" s="178"/>
      <c r="HL18" s="178"/>
      <c r="HM18" s="245" t="s">
        <v>41</v>
      </c>
      <c r="HN18" s="245" t="s">
        <v>42</v>
      </c>
      <c r="HO18" s="180"/>
      <c r="HP18" s="181">
        <v>610</v>
      </c>
      <c r="HQ18" s="180"/>
      <c r="HR18" s="180"/>
      <c r="HS18" s="181">
        <v>594</v>
      </c>
      <c r="HT18" s="249">
        <f t="shared" si="45"/>
        <v>-16</v>
      </c>
      <c r="HU18" s="183">
        <f t="shared" si="46"/>
        <v>-0.026936026936026935</v>
      </c>
      <c r="HV18" s="264"/>
      <c r="HW18" s="173">
        <f>SUM(HC18+HP18)</f>
        <v>6536</v>
      </c>
      <c r="HX18" s="266"/>
      <c r="HY18" s="252"/>
      <c r="HZ18" s="256">
        <f>SUM(HF18+HS18)</f>
        <v>6992</v>
      </c>
      <c r="IA18" s="257">
        <f t="shared" si="11"/>
        <v>456</v>
      </c>
      <c r="IB18" s="183">
        <f t="shared" si="47"/>
        <v>0.06521739130434782</v>
      </c>
      <c r="IC18" s="178"/>
      <c r="ID18" s="179"/>
      <c r="IE18" s="178"/>
      <c r="IF18" s="178"/>
    </row>
    <row r="19" spans="1:240" ht="13.5" thickBot="1">
      <c r="A19" s="242"/>
      <c r="B19" s="366" t="s">
        <v>43</v>
      </c>
      <c r="C19" s="180"/>
      <c r="D19" s="181">
        <v>72</v>
      </c>
      <c r="E19" s="180"/>
      <c r="F19" s="180"/>
      <c r="G19" s="181">
        <v>27</v>
      </c>
      <c r="H19" s="249">
        <f t="shared" si="12"/>
        <v>-45</v>
      </c>
      <c r="I19" s="183">
        <f t="shared" si="13"/>
        <v>-1.6666666666666667</v>
      </c>
      <c r="J19" s="180"/>
      <c r="K19" s="181">
        <f>SUM(D19)</f>
        <v>72</v>
      </c>
      <c r="L19" s="180"/>
      <c r="M19" s="252"/>
      <c r="N19" s="195">
        <f>SUM(G19)</f>
        <v>27</v>
      </c>
      <c r="O19" s="257">
        <f t="shared" si="0"/>
        <v>-45</v>
      </c>
      <c r="P19" s="183">
        <f t="shared" si="14"/>
        <v>-1.6666666666666667</v>
      </c>
      <c r="Q19" s="178"/>
      <c r="R19" s="196">
        <f>K19/$B$50*365</f>
        <v>72</v>
      </c>
      <c r="S19" s="178"/>
      <c r="T19" s="178"/>
      <c r="U19" s="242"/>
      <c r="V19" s="360" t="s">
        <v>43</v>
      </c>
      <c r="W19" s="180"/>
      <c r="X19" s="181">
        <v>52</v>
      </c>
      <c r="Y19" s="180"/>
      <c r="Z19" s="180"/>
      <c r="AA19" s="181">
        <v>49</v>
      </c>
      <c r="AB19" s="249">
        <f t="shared" si="15"/>
        <v>-3</v>
      </c>
      <c r="AC19" s="183">
        <f t="shared" si="16"/>
        <v>-0.061224489795918366</v>
      </c>
      <c r="AD19" s="264"/>
      <c r="AE19" s="181">
        <f>SUM(K19+X19)</f>
        <v>124</v>
      </c>
      <c r="AF19" s="266"/>
      <c r="AG19" s="252"/>
      <c r="AH19" s="195">
        <f>SUM(N19+AA19)</f>
        <v>76</v>
      </c>
      <c r="AI19" s="257">
        <f t="shared" si="1"/>
        <v>-48</v>
      </c>
      <c r="AJ19" s="183">
        <f t="shared" si="17"/>
        <v>-0.631578947368421</v>
      </c>
      <c r="AK19" s="178"/>
      <c r="AL19" s="196"/>
      <c r="AM19" s="178"/>
      <c r="AN19" s="178"/>
      <c r="AO19" s="242"/>
      <c r="AP19" s="245" t="s">
        <v>43</v>
      </c>
      <c r="AQ19" s="180"/>
      <c r="AR19" s="181">
        <v>54</v>
      </c>
      <c r="AS19" s="180"/>
      <c r="AT19" s="180"/>
      <c r="AU19" s="181">
        <v>74</v>
      </c>
      <c r="AV19" s="249">
        <f t="shared" si="18"/>
        <v>20</v>
      </c>
      <c r="AW19" s="183">
        <f t="shared" si="19"/>
        <v>0.2702702702702703</v>
      </c>
      <c r="AX19" s="264"/>
      <c r="AY19" s="181">
        <f>SUM(AE19+AR19)</f>
        <v>178</v>
      </c>
      <c r="AZ19" s="266"/>
      <c r="BA19" s="252"/>
      <c r="BB19" s="195">
        <f>SUM(AH19+AU19)</f>
        <v>150</v>
      </c>
      <c r="BC19" s="257">
        <f t="shared" si="2"/>
        <v>-28</v>
      </c>
      <c r="BD19" s="183">
        <f t="shared" si="20"/>
        <v>-0.18666666666666668</v>
      </c>
      <c r="BE19" s="178"/>
      <c r="BF19" s="196"/>
      <c r="BG19" s="178"/>
      <c r="BH19" s="178"/>
      <c r="BI19" s="242"/>
      <c r="BJ19" s="245" t="s">
        <v>43</v>
      </c>
      <c r="BK19" s="180"/>
      <c r="BL19" s="181">
        <v>53</v>
      </c>
      <c r="BM19" s="180"/>
      <c r="BN19" s="180"/>
      <c r="BO19" s="181">
        <v>66</v>
      </c>
      <c r="BP19" s="249">
        <f t="shared" si="21"/>
        <v>13</v>
      </c>
      <c r="BQ19" s="183">
        <f t="shared" si="22"/>
        <v>0.19696969696969696</v>
      </c>
      <c r="BR19" s="264"/>
      <c r="BS19" s="181">
        <f>SUM(AY19+BL19)</f>
        <v>231</v>
      </c>
      <c r="BT19" s="266"/>
      <c r="BU19" s="252"/>
      <c r="BV19" s="195">
        <f>SUM(BB19+BO19)</f>
        <v>216</v>
      </c>
      <c r="BW19" s="257">
        <f t="shared" si="3"/>
        <v>-15</v>
      </c>
      <c r="BX19" s="183">
        <f t="shared" si="23"/>
        <v>-0.06944444444444445</v>
      </c>
      <c r="BY19" s="178"/>
      <c r="BZ19" s="196"/>
      <c r="CA19" s="178"/>
      <c r="CB19" s="178"/>
      <c r="CC19" s="242"/>
      <c r="CD19" s="245" t="s">
        <v>43</v>
      </c>
      <c r="CE19" s="180"/>
      <c r="CF19" s="181">
        <v>58</v>
      </c>
      <c r="CG19" s="180"/>
      <c r="CH19" s="180"/>
      <c r="CI19" s="181">
        <v>68</v>
      </c>
      <c r="CJ19" s="249">
        <f t="shared" si="24"/>
        <v>10</v>
      </c>
      <c r="CK19" s="183">
        <f t="shared" si="25"/>
        <v>0.14705882352941177</v>
      </c>
      <c r="CL19" s="264"/>
      <c r="CM19" s="181">
        <f>SUM(BS19+CF19)</f>
        <v>289</v>
      </c>
      <c r="CN19" s="266"/>
      <c r="CO19" s="252"/>
      <c r="CP19" s="195">
        <f>SUM(BV19+CI19)</f>
        <v>284</v>
      </c>
      <c r="CQ19" s="257">
        <f t="shared" si="4"/>
        <v>-5</v>
      </c>
      <c r="CR19" s="183">
        <f t="shared" si="26"/>
        <v>-0.017605633802816902</v>
      </c>
      <c r="CS19" s="178"/>
      <c r="CT19" s="196"/>
      <c r="CU19" s="178"/>
      <c r="CV19" s="178"/>
      <c r="CW19" s="242"/>
      <c r="CX19" s="245" t="s">
        <v>43</v>
      </c>
      <c r="CY19" s="180"/>
      <c r="CZ19" s="181">
        <v>61</v>
      </c>
      <c r="DA19" s="180"/>
      <c r="DB19" s="180"/>
      <c r="DC19" s="181">
        <v>49</v>
      </c>
      <c r="DD19" s="249">
        <f t="shared" si="27"/>
        <v>-12</v>
      </c>
      <c r="DE19" s="183">
        <f t="shared" si="28"/>
        <v>-0.24489795918367346</v>
      </c>
      <c r="DF19" s="264"/>
      <c r="DG19" s="181">
        <f>SUM(CM19+CZ19)</f>
        <v>350</v>
      </c>
      <c r="DH19" s="266"/>
      <c r="DI19" s="252"/>
      <c r="DJ19" s="195">
        <f>SUM(CP19+DC19)</f>
        <v>333</v>
      </c>
      <c r="DK19" s="257">
        <f t="shared" si="5"/>
        <v>-17</v>
      </c>
      <c r="DL19" s="183">
        <f t="shared" si="29"/>
        <v>-0.05105105105105105</v>
      </c>
      <c r="DM19" s="178"/>
      <c r="DN19" s="196"/>
      <c r="DO19" s="178"/>
      <c r="DP19" s="178"/>
      <c r="DQ19" s="242"/>
      <c r="DR19" s="245" t="s">
        <v>43</v>
      </c>
      <c r="DS19" s="180"/>
      <c r="DT19" s="181">
        <v>76</v>
      </c>
      <c r="DU19" s="180"/>
      <c r="DV19" s="180"/>
      <c r="DW19" s="181">
        <v>64</v>
      </c>
      <c r="DX19" s="249">
        <f t="shared" si="30"/>
        <v>-12</v>
      </c>
      <c r="DY19" s="183">
        <f t="shared" si="31"/>
        <v>-0.1875</v>
      </c>
      <c r="DZ19" s="264"/>
      <c r="EA19" s="181">
        <f>SUM(DG19+DT19)</f>
        <v>426</v>
      </c>
      <c r="EB19" s="266"/>
      <c r="EC19" s="252"/>
      <c r="ED19" s="195">
        <f>SUM(DJ19+DW19)</f>
        <v>397</v>
      </c>
      <c r="EE19" s="257">
        <f t="shared" si="6"/>
        <v>-29</v>
      </c>
      <c r="EF19" s="183">
        <f t="shared" si="32"/>
        <v>-0.07304785894206549</v>
      </c>
      <c r="EG19" s="178"/>
      <c r="EH19" s="196"/>
      <c r="EI19" s="178"/>
      <c r="EJ19" s="178"/>
      <c r="EK19" s="242"/>
      <c r="EL19" s="245" t="s">
        <v>43</v>
      </c>
      <c r="EM19" s="180"/>
      <c r="EN19" s="181">
        <v>64</v>
      </c>
      <c r="EO19" s="180"/>
      <c r="EP19" s="180"/>
      <c r="EQ19" s="181">
        <v>60</v>
      </c>
      <c r="ER19" s="249">
        <f t="shared" si="33"/>
        <v>-4</v>
      </c>
      <c r="ES19" s="183">
        <f t="shared" si="34"/>
        <v>-0.06666666666666667</v>
      </c>
      <c r="ET19" s="264"/>
      <c r="EU19" s="181">
        <f>SUM(EA19+EN19)</f>
        <v>490</v>
      </c>
      <c r="EV19" s="266"/>
      <c r="EW19" s="252"/>
      <c r="EX19" s="195">
        <f>SUM(ED19+EQ19)</f>
        <v>457</v>
      </c>
      <c r="EY19" s="257">
        <f t="shared" si="7"/>
        <v>-33</v>
      </c>
      <c r="EZ19" s="183">
        <f t="shared" si="35"/>
        <v>-0.07221006564551423</v>
      </c>
      <c r="FA19" s="178"/>
      <c r="FB19" s="196"/>
      <c r="FC19" s="178"/>
      <c r="FD19" s="178"/>
      <c r="FE19" s="242"/>
      <c r="FF19" s="245" t="s">
        <v>43</v>
      </c>
      <c r="FG19" s="180"/>
      <c r="FH19" s="181">
        <v>48</v>
      </c>
      <c r="FI19" s="180"/>
      <c r="FJ19" s="180"/>
      <c r="FK19" s="181">
        <v>58</v>
      </c>
      <c r="FL19" s="249">
        <f t="shared" si="36"/>
        <v>10</v>
      </c>
      <c r="FM19" s="183">
        <f t="shared" si="37"/>
        <v>0.1724137931034483</v>
      </c>
      <c r="FN19" s="264"/>
      <c r="FO19" s="181">
        <f>SUM(EU19+FH19)</f>
        <v>538</v>
      </c>
      <c r="FP19" s="266"/>
      <c r="FQ19" s="252"/>
      <c r="FR19" s="195">
        <f>SUM(EX19+FK19)</f>
        <v>515</v>
      </c>
      <c r="FS19" s="257">
        <f t="shared" si="8"/>
        <v>-23</v>
      </c>
      <c r="FT19" s="183">
        <f t="shared" si="38"/>
        <v>-0.04466019417475728</v>
      </c>
      <c r="FU19" s="178"/>
      <c r="FV19" s="196"/>
      <c r="FW19" s="178"/>
      <c r="FX19" s="178"/>
      <c r="FY19" s="242"/>
      <c r="FZ19" s="245" t="s">
        <v>43</v>
      </c>
      <c r="GA19" s="180"/>
      <c r="GB19" s="181">
        <v>33</v>
      </c>
      <c r="GC19" s="180"/>
      <c r="GD19" s="180"/>
      <c r="GE19" s="181">
        <v>39</v>
      </c>
      <c r="GF19" s="249">
        <f t="shared" si="39"/>
        <v>6</v>
      </c>
      <c r="GG19" s="183">
        <f t="shared" si="40"/>
        <v>0.15384615384615385</v>
      </c>
      <c r="GH19" s="264"/>
      <c r="GI19" s="181">
        <f>SUM(FO19+GB19)</f>
        <v>571</v>
      </c>
      <c r="GJ19" s="266"/>
      <c r="GK19" s="252"/>
      <c r="GL19" s="195">
        <f>SUM(FR19+GE19)</f>
        <v>554</v>
      </c>
      <c r="GM19" s="257">
        <f t="shared" si="9"/>
        <v>-17</v>
      </c>
      <c r="GN19" s="183">
        <f t="shared" si="41"/>
        <v>-0.030685920577617327</v>
      </c>
      <c r="GO19" s="178"/>
      <c r="GP19" s="196"/>
      <c r="GQ19" s="178"/>
      <c r="GR19" s="178"/>
      <c r="GS19" s="242"/>
      <c r="GT19" s="245" t="s">
        <v>43</v>
      </c>
      <c r="GU19" s="180"/>
      <c r="GV19" s="181">
        <v>36</v>
      </c>
      <c r="GW19" s="180"/>
      <c r="GX19" s="180"/>
      <c r="GY19" s="181">
        <v>57</v>
      </c>
      <c r="GZ19" s="249">
        <f t="shared" si="42"/>
        <v>21</v>
      </c>
      <c r="HA19" s="183">
        <f t="shared" si="43"/>
        <v>0.3684210526315789</v>
      </c>
      <c r="HB19" s="264"/>
      <c r="HC19" s="181">
        <f>SUM(GI19+GV19)</f>
        <v>607</v>
      </c>
      <c r="HD19" s="266"/>
      <c r="HE19" s="252"/>
      <c r="HF19" s="195">
        <f>SUM(GL19+GY19)</f>
        <v>611</v>
      </c>
      <c r="HG19" s="257">
        <f t="shared" si="10"/>
        <v>4</v>
      </c>
      <c r="HH19" s="183">
        <f t="shared" si="44"/>
        <v>0.006546644844517185</v>
      </c>
      <c r="HI19" s="178"/>
      <c r="HJ19" s="196"/>
      <c r="HK19" s="178"/>
      <c r="HL19" s="178"/>
      <c r="HM19" s="242"/>
      <c r="HN19" s="245" t="s">
        <v>43</v>
      </c>
      <c r="HO19" s="180"/>
      <c r="HP19" s="181">
        <v>52</v>
      </c>
      <c r="HQ19" s="180"/>
      <c r="HR19" s="180"/>
      <c r="HS19" s="181">
        <v>83</v>
      </c>
      <c r="HT19" s="249">
        <f t="shared" si="45"/>
        <v>31</v>
      </c>
      <c r="HU19" s="183">
        <f t="shared" si="46"/>
        <v>0.37349397590361444</v>
      </c>
      <c r="HV19" s="264"/>
      <c r="HW19" s="181">
        <f>SUM(HC19+HP19)</f>
        <v>659</v>
      </c>
      <c r="HX19" s="266"/>
      <c r="HY19" s="252"/>
      <c r="HZ19" s="195">
        <f>SUM(HF19+HS19)</f>
        <v>694</v>
      </c>
      <c r="IA19" s="257">
        <f t="shared" si="11"/>
        <v>35</v>
      </c>
      <c r="IB19" s="183">
        <f t="shared" si="47"/>
        <v>0.05043227665706052</v>
      </c>
      <c r="IC19" s="178"/>
      <c r="ID19" s="196"/>
      <c r="IE19" s="178"/>
      <c r="IF19" s="178"/>
    </row>
    <row r="20" spans="1:240" ht="13.5" thickBot="1">
      <c r="A20" s="242"/>
      <c r="B20" s="366" t="s">
        <v>44</v>
      </c>
      <c r="C20" s="180"/>
      <c r="D20" s="181">
        <v>201</v>
      </c>
      <c r="E20" s="180"/>
      <c r="F20" s="180"/>
      <c r="G20" s="181">
        <v>122</v>
      </c>
      <c r="H20" s="197">
        <f t="shared" si="12"/>
        <v>-79</v>
      </c>
      <c r="I20" s="183">
        <f t="shared" si="13"/>
        <v>-0.6475409836065574</v>
      </c>
      <c r="J20" s="180"/>
      <c r="K20" s="181">
        <f>SUM(D20)</f>
        <v>201</v>
      </c>
      <c r="L20" s="180"/>
      <c r="M20" s="252"/>
      <c r="N20" s="195">
        <f>SUM(G20)</f>
        <v>122</v>
      </c>
      <c r="O20" s="257">
        <f t="shared" si="0"/>
        <v>-79</v>
      </c>
      <c r="P20" s="183">
        <f t="shared" si="14"/>
        <v>-0.6475409836065574</v>
      </c>
      <c r="Q20" s="178"/>
      <c r="R20" s="196">
        <f>K20/$B$50*365</f>
        <v>200.99999999999997</v>
      </c>
      <c r="S20" s="178"/>
      <c r="T20" s="178"/>
      <c r="U20" s="242"/>
      <c r="V20" s="360" t="s">
        <v>44</v>
      </c>
      <c r="W20" s="180"/>
      <c r="X20" s="181">
        <v>238</v>
      </c>
      <c r="Y20" s="180"/>
      <c r="Z20" s="180"/>
      <c r="AA20" s="181">
        <v>321</v>
      </c>
      <c r="AB20" s="197">
        <f t="shared" si="15"/>
        <v>83</v>
      </c>
      <c r="AC20" s="183">
        <f t="shared" si="16"/>
        <v>0.2585669781931464</v>
      </c>
      <c r="AD20" s="264"/>
      <c r="AE20" s="181">
        <f>SUM(K20+X20)</f>
        <v>439</v>
      </c>
      <c r="AF20" s="266"/>
      <c r="AG20" s="252"/>
      <c r="AH20" s="195">
        <f>SUM(N20+AA20)</f>
        <v>443</v>
      </c>
      <c r="AI20" s="257">
        <f t="shared" si="1"/>
        <v>4</v>
      </c>
      <c r="AJ20" s="183">
        <f t="shared" si="17"/>
        <v>0.009029345372460496</v>
      </c>
      <c r="AK20" s="178"/>
      <c r="AL20" s="187"/>
      <c r="AM20" s="178"/>
      <c r="AN20" s="178"/>
      <c r="AO20" s="242"/>
      <c r="AP20" s="244" t="s">
        <v>44</v>
      </c>
      <c r="AQ20" s="180"/>
      <c r="AR20" s="181">
        <v>276</v>
      </c>
      <c r="AS20" s="180"/>
      <c r="AT20" s="180"/>
      <c r="AU20" s="181">
        <v>328</v>
      </c>
      <c r="AV20" s="197">
        <f t="shared" si="18"/>
        <v>52</v>
      </c>
      <c r="AW20" s="183">
        <f t="shared" si="19"/>
        <v>0.15853658536585366</v>
      </c>
      <c r="AX20" s="264"/>
      <c r="AY20" s="181">
        <f>SUM(AE20+AR20)</f>
        <v>715</v>
      </c>
      <c r="AZ20" s="266"/>
      <c r="BA20" s="252"/>
      <c r="BB20" s="195">
        <f>SUM(AH20+AU20)</f>
        <v>771</v>
      </c>
      <c r="BC20" s="257">
        <f t="shared" si="2"/>
        <v>56</v>
      </c>
      <c r="BD20" s="183">
        <f t="shared" si="20"/>
        <v>0.07263294422827497</v>
      </c>
      <c r="BE20" s="178"/>
      <c r="BF20" s="187"/>
      <c r="BG20" s="178"/>
      <c r="BH20" s="178"/>
      <c r="BI20" s="242"/>
      <c r="BJ20" s="244" t="s">
        <v>44</v>
      </c>
      <c r="BK20" s="180"/>
      <c r="BL20" s="181">
        <v>378</v>
      </c>
      <c r="BM20" s="180"/>
      <c r="BN20" s="180"/>
      <c r="BO20" s="181">
        <v>275</v>
      </c>
      <c r="BP20" s="197">
        <f t="shared" si="21"/>
        <v>-103</v>
      </c>
      <c r="BQ20" s="183">
        <f t="shared" si="22"/>
        <v>-0.37454545454545457</v>
      </c>
      <c r="BR20" s="264"/>
      <c r="BS20" s="202">
        <f>SUM(AY20+BL20)</f>
        <v>1093</v>
      </c>
      <c r="BT20" s="266"/>
      <c r="BU20" s="252"/>
      <c r="BV20" s="255">
        <f>SUM(BB20+BO20)</f>
        <v>1046</v>
      </c>
      <c r="BW20" s="257">
        <f t="shared" si="3"/>
        <v>-47</v>
      </c>
      <c r="BX20" s="183">
        <f t="shared" si="23"/>
        <v>-0.044933078393881457</v>
      </c>
      <c r="BY20" s="178"/>
      <c r="BZ20" s="187"/>
      <c r="CA20" s="178"/>
      <c r="CB20" s="178"/>
      <c r="CC20" s="242"/>
      <c r="CD20" s="244" t="s">
        <v>44</v>
      </c>
      <c r="CE20" s="180"/>
      <c r="CF20" s="181">
        <v>410</v>
      </c>
      <c r="CG20" s="180"/>
      <c r="CH20" s="180"/>
      <c r="CI20" s="181">
        <v>489</v>
      </c>
      <c r="CJ20" s="197">
        <f t="shared" si="24"/>
        <v>79</v>
      </c>
      <c r="CK20" s="183">
        <f t="shared" si="25"/>
        <v>0.16155419222903886</v>
      </c>
      <c r="CL20" s="264"/>
      <c r="CM20" s="202">
        <f>SUM(BS20+CF20)</f>
        <v>1503</v>
      </c>
      <c r="CN20" s="266"/>
      <c r="CO20" s="252"/>
      <c r="CP20" s="255">
        <f>SUM(BV20+CI20)</f>
        <v>1535</v>
      </c>
      <c r="CQ20" s="257">
        <f t="shared" si="4"/>
        <v>32</v>
      </c>
      <c r="CR20" s="183">
        <f t="shared" si="26"/>
        <v>0.020846905537459284</v>
      </c>
      <c r="CS20" s="178"/>
      <c r="CT20" s="187"/>
      <c r="CU20" s="178"/>
      <c r="CV20" s="178"/>
      <c r="CW20" s="242"/>
      <c r="CX20" s="244" t="s">
        <v>44</v>
      </c>
      <c r="CY20" s="180"/>
      <c r="CZ20" s="181">
        <v>356</v>
      </c>
      <c r="DA20" s="180"/>
      <c r="DB20" s="180"/>
      <c r="DC20" s="181">
        <v>289</v>
      </c>
      <c r="DD20" s="197">
        <f t="shared" si="27"/>
        <v>-67</v>
      </c>
      <c r="DE20" s="183">
        <f t="shared" si="28"/>
        <v>-0.23183391003460208</v>
      </c>
      <c r="DF20" s="264"/>
      <c r="DG20" s="202">
        <f>SUM(CM20+CZ20)</f>
        <v>1859</v>
      </c>
      <c r="DH20" s="266"/>
      <c r="DI20" s="252"/>
      <c r="DJ20" s="255">
        <f>SUM(CP20+DC20)</f>
        <v>1824</v>
      </c>
      <c r="DK20" s="257">
        <f t="shared" si="5"/>
        <v>-35</v>
      </c>
      <c r="DL20" s="183">
        <f t="shared" si="29"/>
        <v>-0.01918859649122807</v>
      </c>
      <c r="DM20" s="178"/>
      <c r="DN20" s="187"/>
      <c r="DO20" s="178"/>
      <c r="DP20" s="178"/>
      <c r="DQ20" s="242"/>
      <c r="DR20" s="244" t="s">
        <v>44</v>
      </c>
      <c r="DS20" s="180"/>
      <c r="DT20" s="181">
        <v>424</v>
      </c>
      <c r="DU20" s="180"/>
      <c r="DV20" s="180"/>
      <c r="DW20" s="181">
        <v>288</v>
      </c>
      <c r="DX20" s="197">
        <f t="shared" si="30"/>
        <v>-136</v>
      </c>
      <c r="DY20" s="183">
        <f t="shared" si="31"/>
        <v>-0.4722222222222222</v>
      </c>
      <c r="DZ20" s="264"/>
      <c r="EA20" s="202">
        <f>SUM(DG20+DT20)</f>
        <v>2283</v>
      </c>
      <c r="EB20" s="266"/>
      <c r="EC20" s="252"/>
      <c r="ED20" s="255">
        <f>SUM(DJ20+DW20)</f>
        <v>2112</v>
      </c>
      <c r="EE20" s="257">
        <f t="shared" si="6"/>
        <v>-171</v>
      </c>
      <c r="EF20" s="183">
        <f t="shared" si="32"/>
        <v>-0.08096590909090909</v>
      </c>
      <c r="EG20" s="178"/>
      <c r="EH20" s="187"/>
      <c r="EI20" s="178"/>
      <c r="EJ20" s="178"/>
      <c r="EK20" s="242"/>
      <c r="EL20" s="244" t="s">
        <v>44</v>
      </c>
      <c r="EM20" s="180"/>
      <c r="EN20" s="181">
        <v>324</v>
      </c>
      <c r="EO20" s="180"/>
      <c r="EP20" s="180"/>
      <c r="EQ20" s="181">
        <v>243</v>
      </c>
      <c r="ER20" s="197">
        <f t="shared" si="33"/>
        <v>-81</v>
      </c>
      <c r="ES20" s="183">
        <f t="shared" si="34"/>
        <v>-0.3333333333333333</v>
      </c>
      <c r="ET20" s="264"/>
      <c r="EU20" s="202">
        <f>SUM(EA20+EN20)</f>
        <v>2607</v>
      </c>
      <c r="EV20" s="266"/>
      <c r="EW20" s="252"/>
      <c r="EX20" s="255">
        <f>SUM(ED20+EQ20)</f>
        <v>2355</v>
      </c>
      <c r="EY20" s="257">
        <f t="shared" si="7"/>
        <v>-252</v>
      </c>
      <c r="EZ20" s="183">
        <f t="shared" si="35"/>
        <v>-0.1070063694267516</v>
      </c>
      <c r="FA20" s="178"/>
      <c r="FB20" s="187"/>
      <c r="FC20" s="178"/>
      <c r="FD20" s="178"/>
      <c r="FE20" s="242"/>
      <c r="FF20" s="244" t="s">
        <v>44</v>
      </c>
      <c r="FG20" s="180"/>
      <c r="FH20" s="181">
        <v>313</v>
      </c>
      <c r="FI20" s="180"/>
      <c r="FJ20" s="180"/>
      <c r="FK20" s="181">
        <v>278</v>
      </c>
      <c r="FL20" s="197">
        <f t="shared" si="36"/>
        <v>-35</v>
      </c>
      <c r="FM20" s="183">
        <f t="shared" si="37"/>
        <v>-0.12589928057553956</v>
      </c>
      <c r="FN20" s="264"/>
      <c r="FO20" s="202">
        <f>SUM(EU20+FH20)</f>
        <v>2920</v>
      </c>
      <c r="FP20" s="266"/>
      <c r="FQ20" s="252"/>
      <c r="FR20" s="255">
        <f>SUM(EX20+FK20)</f>
        <v>2633</v>
      </c>
      <c r="FS20" s="257">
        <f t="shared" si="8"/>
        <v>-287</v>
      </c>
      <c r="FT20" s="183">
        <f t="shared" si="38"/>
        <v>-0.10900113938473224</v>
      </c>
      <c r="FU20" s="178"/>
      <c r="FV20" s="187"/>
      <c r="FW20" s="178"/>
      <c r="FX20" s="178"/>
      <c r="FY20" s="242"/>
      <c r="FZ20" s="244" t="s">
        <v>44</v>
      </c>
      <c r="GA20" s="180"/>
      <c r="GB20" s="181">
        <v>291</v>
      </c>
      <c r="GC20" s="180"/>
      <c r="GD20" s="180"/>
      <c r="GE20" s="181">
        <v>221</v>
      </c>
      <c r="GF20" s="197">
        <f t="shared" si="39"/>
        <v>-70</v>
      </c>
      <c r="GG20" s="183">
        <f t="shared" si="40"/>
        <v>-0.3167420814479638</v>
      </c>
      <c r="GH20" s="264"/>
      <c r="GI20" s="202">
        <f>SUM(FO20+GB20)</f>
        <v>3211</v>
      </c>
      <c r="GJ20" s="266"/>
      <c r="GK20" s="252"/>
      <c r="GL20" s="255">
        <f>SUM(FR20+GE20)</f>
        <v>2854</v>
      </c>
      <c r="GM20" s="257">
        <f t="shared" si="9"/>
        <v>-357</v>
      </c>
      <c r="GN20" s="183">
        <f t="shared" si="41"/>
        <v>-0.1250875963559916</v>
      </c>
      <c r="GO20" s="178"/>
      <c r="GP20" s="187"/>
      <c r="GQ20" s="178"/>
      <c r="GR20" s="178"/>
      <c r="GS20" s="242"/>
      <c r="GT20" s="244" t="s">
        <v>44</v>
      </c>
      <c r="GU20" s="180"/>
      <c r="GV20" s="181">
        <v>321</v>
      </c>
      <c r="GW20" s="180"/>
      <c r="GX20" s="180"/>
      <c r="GY20" s="181">
        <v>348</v>
      </c>
      <c r="GZ20" s="197">
        <f t="shared" si="42"/>
        <v>27</v>
      </c>
      <c r="HA20" s="183">
        <f t="shared" si="43"/>
        <v>0.07758620689655173</v>
      </c>
      <c r="HB20" s="264"/>
      <c r="HC20" s="202">
        <f>SUM(GI20+GV20)</f>
        <v>3532</v>
      </c>
      <c r="HD20" s="266"/>
      <c r="HE20" s="252"/>
      <c r="HF20" s="255">
        <f>SUM(GL20+GY20)</f>
        <v>3202</v>
      </c>
      <c r="HG20" s="257">
        <f t="shared" si="10"/>
        <v>-330</v>
      </c>
      <c r="HH20" s="183">
        <f t="shared" si="44"/>
        <v>-0.10306058713304185</v>
      </c>
      <c r="HI20" s="178"/>
      <c r="HJ20" s="187"/>
      <c r="HK20" s="178"/>
      <c r="HL20" s="178"/>
      <c r="HM20" s="242"/>
      <c r="HN20" s="244" t="s">
        <v>44</v>
      </c>
      <c r="HO20" s="180"/>
      <c r="HP20" s="181">
        <v>390</v>
      </c>
      <c r="HQ20" s="180"/>
      <c r="HR20" s="180"/>
      <c r="HS20" s="181">
        <v>270</v>
      </c>
      <c r="HT20" s="197">
        <f t="shared" si="45"/>
        <v>-120</v>
      </c>
      <c r="HU20" s="183">
        <f t="shared" si="46"/>
        <v>-0.4444444444444444</v>
      </c>
      <c r="HV20" s="264"/>
      <c r="HW20" s="202">
        <f>SUM(HC20+HP20)</f>
        <v>3922</v>
      </c>
      <c r="HX20" s="266"/>
      <c r="HY20" s="252"/>
      <c r="HZ20" s="255">
        <f>SUM(HF20+HS20)</f>
        <v>3472</v>
      </c>
      <c r="IA20" s="257">
        <f t="shared" si="11"/>
        <v>-450</v>
      </c>
      <c r="IB20" s="183">
        <f t="shared" si="47"/>
        <v>-0.12960829493087558</v>
      </c>
      <c r="IC20" s="178"/>
      <c r="ID20" s="187"/>
      <c r="IE20" s="178"/>
      <c r="IF20" s="178"/>
    </row>
    <row r="21" spans="1:240" ht="13.5" thickBot="1">
      <c r="A21" s="242"/>
      <c r="B21" s="367" t="s">
        <v>212</v>
      </c>
      <c r="C21" s="180"/>
      <c r="D21" s="181">
        <v>56</v>
      </c>
      <c r="E21" s="180"/>
      <c r="F21" s="180"/>
      <c r="G21" s="181">
        <v>32</v>
      </c>
      <c r="H21" s="197">
        <f t="shared" si="12"/>
        <v>-24</v>
      </c>
      <c r="I21" s="183">
        <f t="shared" si="13"/>
        <v>-0.75</v>
      </c>
      <c r="J21" s="180"/>
      <c r="K21" s="181">
        <f>SUM(D21)</f>
        <v>56</v>
      </c>
      <c r="L21" s="180"/>
      <c r="M21" s="252"/>
      <c r="N21" s="255">
        <f>SUM(G21)</f>
        <v>32</v>
      </c>
      <c r="O21" s="257">
        <f t="shared" si="0"/>
        <v>-24</v>
      </c>
      <c r="P21" s="183">
        <f t="shared" si="14"/>
        <v>-0.75</v>
      </c>
      <c r="Q21" s="178"/>
      <c r="R21" s="196">
        <f>K21/$B$50*365</f>
        <v>56</v>
      </c>
      <c r="S21" s="178"/>
      <c r="T21" s="178"/>
      <c r="U21" s="242"/>
      <c r="V21" s="244" t="s">
        <v>212</v>
      </c>
      <c r="W21" s="180"/>
      <c r="X21" s="181">
        <v>22</v>
      </c>
      <c r="Y21" s="180"/>
      <c r="Z21" s="180"/>
      <c r="AA21" s="181">
        <v>0</v>
      </c>
      <c r="AB21" s="197">
        <f t="shared" si="15"/>
        <v>-22</v>
      </c>
      <c r="AC21" s="183">
        <v>0</v>
      </c>
      <c r="AD21" s="264"/>
      <c r="AE21" s="202"/>
      <c r="AF21" s="266"/>
      <c r="AG21" s="252"/>
      <c r="AH21" s="255">
        <f>SUM(N21+AA21)</f>
        <v>32</v>
      </c>
      <c r="AI21" s="257">
        <f t="shared" si="1"/>
        <v>32</v>
      </c>
      <c r="AJ21" s="183"/>
      <c r="AK21" s="178"/>
      <c r="AL21" s="187"/>
      <c r="AM21" s="178"/>
      <c r="AN21" s="178"/>
      <c r="AO21" s="242"/>
      <c r="AP21" s="244"/>
      <c r="AQ21" s="180"/>
      <c r="AR21" s="181"/>
      <c r="AS21" s="180"/>
      <c r="AT21" s="180"/>
      <c r="AU21" s="181"/>
      <c r="AV21" s="197"/>
      <c r="AW21" s="183"/>
      <c r="AX21" s="264"/>
      <c r="AY21" s="202"/>
      <c r="AZ21" s="266"/>
      <c r="BA21" s="252"/>
      <c r="BB21" s="195"/>
      <c r="BC21" s="257"/>
      <c r="BD21" s="183"/>
      <c r="BE21" s="178"/>
      <c r="BF21" s="187"/>
      <c r="BG21" s="178"/>
      <c r="BH21" s="178"/>
      <c r="BI21" s="242"/>
      <c r="BJ21" s="244"/>
      <c r="BK21" s="180"/>
      <c r="BL21" s="181"/>
      <c r="BM21" s="180"/>
      <c r="BN21" s="180"/>
      <c r="BO21" s="181"/>
      <c r="BP21" s="197"/>
      <c r="BQ21" s="183"/>
      <c r="BR21" s="264"/>
      <c r="BS21" s="181"/>
      <c r="BT21" s="266"/>
      <c r="BU21" s="252"/>
      <c r="BV21" s="195"/>
      <c r="BW21" s="257"/>
      <c r="BX21" s="183"/>
      <c r="BY21" s="178"/>
      <c r="BZ21" s="187"/>
      <c r="CA21" s="178"/>
      <c r="CB21" s="178"/>
      <c r="CC21" s="242"/>
      <c r="CD21" s="244"/>
      <c r="CE21" s="180"/>
      <c r="CF21" s="181"/>
      <c r="CG21" s="180"/>
      <c r="CH21" s="180"/>
      <c r="CI21" s="181"/>
      <c r="CJ21" s="197"/>
      <c r="CK21" s="183"/>
      <c r="CL21" s="264"/>
      <c r="CM21" s="181"/>
      <c r="CN21" s="266"/>
      <c r="CO21" s="252"/>
      <c r="CP21" s="195"/>
      <c r="CQ21" s="257"/>
      <c r="CR21" s="183"/>
      <c r="CS21" s="178"/>
      <c r="CT21" s="187"/>
      <c r="CU21" s="178"/>
      <c r="CV21" s="178"/>
      <c r="CW21" s="242"/>
      <c r="CX21" s="244"/>
      <c r="CY21" s="180"/>
      <c r="CZ21" s="181"/>
      <c r="DA21" s="180"/>
      <c r="DB21" s="180"/>
      <c r="DC21" s="181"/>
      <c r="DD21" s="197"/>
      <c r="DE21" s="183"/>
      <c r="DF21" s="264"/>
      <c r="DG21" s="181"/>
      <c r="DH21" s="266"/>
      <c r="DI21" s="252"/>
      <c r="DJ21" s="195"/>
      <c r="DK21" s="257"/>
      <c r="DL21" s="183"/>
      <c r="DM21" s="178"/>
      <c r="DN21" s="187"/>
      <c r="DO21" s="178"/>
      <c r="DP21" s="178"/>
      <c r="DQ21" s="242"/>
      <c r="DR21" s="244"/>
      <c r="DS21" s="180"/>
      <c r="DT21" s="181"/>
      <c r="DU21" s="180"/>
      <c r="DV21" s="180"/>
      <c r="DW21" s="181"/>
      <c r="DX21" s="197"/>
      <c r="DY21" s="183"/>
      <c r="DZ21" s="264"/>
      <c r="EA21" s="181"/>
      <c r="EB21" s="266"/>
      <c r="EC21" s="252"/>
      <c r="ED21" s="195"/>
      <c r="EE21" s="257"/>
      <c r="EF21" s="183"/>
      <c r="EG21" s="178"/>
      <c r="EH21" s="187"/>
      <c r="EI21" s="178"/>
      <c r="EJ21" s="178"/>
      <c r="EK21" s="242"/>
      <c r="EL21" s="244"/>
      <c r="EM21" s="180"/>
      <c r="EN21" s="181"/>
      <c r="EO21" s="180"/>
      <c r="EP21" s="180"/>
      <c r="EQ21" s="181"/>
      <c r="ER21" s="197"/>
      <c r="ES21" s="183"/>
      <c r="ET21" s="264"/>
      <c r="EU21" s="181"/>
      <c r="EV21" s="266"/>
      <c r="EW21" s="252"/>
      <c r="EX21" s="195"/>
      <c r="EY21" s="257"/>
      <c r="EZ21" s="183"/>
      <c r="FA21" s="178"/>
      <c r="FB21" s="187"/>
      <c r="FC21" s="178"/>
      <c r="FD21" s="178"/>
      <c r="FE21" s="242"/>
      <c r="FF21" s="244"/>
      <c r="FG21" s="180"/>
      <c r="FH21" s="181"/>
      <c r="FI21" s="180"/>
      <c r="FJ21" s="180"/>
      <c r="FK21" s="181"/>
      <c r="FL21" s="197"/>
      <c r="FM21" s="183"/>
      <c r="FN21" s="264"/>
      <c r="FO21" s="181"/>
      <c r="FP21" s="266"/>
      <c r="FQ21" s="252"/>
      <c r="FR21" s="195"/>
      <c r="FS21" s="257"/>
      <c r="FT21" s="183"/>
      <c r="FU21" s="178"/>
      <c r="FV21" s="187"/>
      <c r="FW21" s="178"/>
      <c r="FX21" s="178"/>
      <c r="FY21" s="242"/>
      <c r="FZ21" s="244"/>
      <c r="GA21" s="180"/>
      <c r="GB21" s="181"/>
      <c r="GC21" s="180"/>
      <c r="GD21" s="180"/>
      <c r="GE21" s="181"/>
      <c r="GF21" s="197"/>
      <c r="GG21" s="183"/>
      <c r="GH21" s="264"/>
      <c r="GI21" s="181"/>
      <c r="GJ21" s="266"/>
      <c r="GK21" s="252"/>
      <c r="GL21" s="195"/>
      <c r="GM21" s="257"/>
      <c r="GN21" s="183"/>
      <c r="GO21" s="178"/>
      <c r="GP21" s="187"/>
      <c r="GQ21" s="178"/>
      <c r="GR21" s="178"/>
      <c r="GS21" s="242"/>
      <c r="GT21" s="244"/>
      <c r="GU21" s="180"/>
      <c r="GV21" s="181"/>
      <c r="GW21" s="180"/>
      <c r="GX21" s="180"/>
      <c r="GY21" s="181"/>
      <c r="GZ21" s="197"/>
      <c r="HA21" s="183"/>
      <c r="HB21" s="264"/>
      <c r="HC21" s="181"/>
      <c r="HD21" s="266"/>
      <c r="HE21" s="252"/>
      <c r="HF21" s="195"/>
      <c r="HG21" s="257"/>
      <c r="HH21" s="183"/>
      <c r="HI21" s="178"/>
      <c r="HJ21" s="187"/>
      <c r="HK21" s="178"/>
      <c r="HL21" s="178"/>
      <c r="HM21" s="242"/>
      <c r="HN21" s="244"/>
      <c r="HO21" s="180"/>
      <c r="HP21" s="181"/>
      <c r="HQ21" s="180"/>
      <c r="HR21" s="180"/>
      <c r="HS21" s="181"/>
      <c r="HT21" s="197"/>
      <c r="HU21" s="183"/>
      <c r="HV21" s="264"/>
      <c r="HW21" s="181"/>
      <c r="HX21" s="266"/>
      <c r="HY21" s="252"/>
      <c r="HZ21" s="195"/>
      <c r="IA21" s="257"/>
      <c r="IB21" s="183"/>
      <c r="IC21" s="178"/>
      <c r="ID21" s="187"/>
      <c r="IE21" s="178"/>
      <c r="IF21" s="178"/>
    </row>
    <row r="22" spans="1:240" ht="13.5" thickBot="1">
      <c r="A22" s="243"/>
      <c r="B22" s="230" t="s">
        <v>26</v>
      </c>
      <c r="C22" s="189"/>
      <c r="D22" s="190">
        <f>SUM(D18:D21)</f>
        <v>880</v>
      </c>
      <c r="E22" s="189"/>
      <c r="F22" s="189"/>
      <c r="G22" s="190">
        <f>SUM(G18:G21)</f>
        <v>691</v>
      </c>
      <c r="H22" s="198">
        <f t="shared" si="12"/>
        <v>-189</v>
      </c>
      <c r="I22" s="192">
        <f t="shared" si="13"/>
        <v>-0.2735166425470333</v>
      </c>
      <c r="J22" s="189"/>
      <c r="K22" s="190">
        <f>SUM(K18:K20)</f>
        <v>824</v>
      </c>
      <c r="L22" s="189"/>
      <c r="M22" s="193"/>
      <c r="N22" s="195">
        <f>SUM(N18:N21)</f>
        <v>691</v>
      </c>
      <c r="O22" s="199">
        <f t="shared" si="0"/>
        <v>-133</v>
      </c>
      <c r="P22" s="192">
        <f t="shared" si="14"/>
        <v>-0.19247467438494936</v>
      </c>
      <c r="Q22" s="178"/>
      <c r="R22" s="194">
        <f>SUM(R18:R20)</f>
        <v>824</v>
      </c>
      <c r="S22" s="178"/>
      <c r="T22" s="178"/>
      <c r="U22" s="243"/>
      <c r="V22" s="233" t="s">
        <v>26</v>
      </c>
      <c r="W22" s="189"/>
      <c r="X22" s="190">
        <f>SUM(X18:X21)</f>
        <v>904</v>
      </c>
      <c r="Y22" s="189"/>
      <c r="Z22" s="189"/>
      <c r="AA22" s="190">
        <f>SUM(AA18:AA20)</f>
        <v>939</v>
      </c>
      <c r="AB22" s="198">
        <f t="shared" si="15"/>
        <v>35</v>
      </c>
      <c r="AC22" s="192">
        <f t="shared" si="16"/>
        <v>0.03727369542066028</v>
      </c>
      <c r="AD22" s="189"/>
      <c r="AE22" s="181">
        <f>SUM(AE18:AE20)</f>
        <v>1706</v>
      </c>
      <c r="AF22" s="189"/>
      <c r="AG22" s="193"/>
      <c r="AH22" s="195">
        <f>SUM(AH18:AH20)</f>
        <v>1598</v>
      </c>
      <c r="AI22" s="199">
        <f t="shared" si="1"/>
        <v>-108</v>
      </c>
      <c r="AJ22" s="192">
        <f t="shared" si="17"/>
        <v>-0.06758448060075094</v>
      </c>
      <c r="AK22" s="178"/>
      <c r="AL22" s="194">
        <f>SUM(AL18:AL20)</f>
        <v>0</v>
      </c>
      <c r="AM22" s="178"/>
      <c r="AN22" s="178"/>
      <c r="AO22" s="243"/>
      <c r="AP22" s="233" t="s">
        <v>26</v>
      </c>
      <c r="AQ22" s="189"/>
      <c r="AR22" s="190">
        <f>SUM(AR18:AR20)</f>
        <v>851</v>
      </c>
      <c r="AS22" s="189"/>
      <c r="AT22" s="189"/>
      <c r="AU22" s="190">
        <f>SUM(AU18:AU20)</f>
        <v>983</v>
      </c>
      <c r="AV22" s="198">
        <f t="shared" si="18"/>
        <v>132</v>
      </c>
      <c r="AW22" s="192">
        <f t="shared" si="19"/>
        <v>0.1342828077314344</v>
      </c>
      <c r="AX22" s="189"/>
      <c r="AY22" s="190">
        <f>SUM(AY18:AY20)</f>
        <v>2557</v>
      </c>
      <c r="AZ22" s="189"/>
      <c r="BA22" s="193"/>
      <c r="BB22" s="429">
        <f>SUM(BB18:BB20)</f>
        <v>2581</v>
      </c>
      <c r="BC22" s="199">
        <f t="shared" si="2"/>
        <v>24</v>
      </c>
      <c r="BD22" s="192">
        <f t="shared" si="20"/>
        <v>0.009298721425803952</v>
      </c>
      <c r="BE22" s="178"/>
      <c r="BF22" s="194">
        <f>SUM(BF18:BF20)</f>
        <v>0</v>
      </c>
      <c r="BG22" s="178"/>
      <c r="BH22" s="178"/>
      <c r="BI22" s="243"/>
      <c r="BJ22" s="233" t="s">
        <v>26</v>
      </c>
      <c r="BK22" s="189"/>
      <c r="BL22" s="190">
        <f>SUM(BL18:BL20)</f>
        <v>1022</v>
      </c>
      <c r="BM22" s="189"/>
      <c r="BN22" s="189"/>
      <c r="BO22" s="190">
        <f>SUM(BO18:BO20)</f>
        <v>875</v>
      </c>
      <c r="BP22" s="198">
        <f t="shared" si="21"/>
        <v>-147</v>
      </c>
      <c r="BQ22" s="192">
        <f t="shared" si="22"/>
        <v>-0.168</v>
      </c>
      <c r="BR22" s="189"/>
      <c r="BS22" s="181">
        <f>SUM(BS18:BS20)</f>
        <v>3579</v>
      </c>
      <c r="BT22" s="189"/>
      <c r="BU22" s="193"/>
      <c r="BV22" s="195">
        <f>SUM(BV18:BV20)</f>
        <v>3456</v>
      </c>
      <c r="BW22" s="199">
        <f t="shared" si="3"/>
        <v>-123</v>
      </c>
      <c r="BX22" s="192">
        <f t="shared" si="23"/>
        <v>-0.035590277777777776</v>
      </c>
      <c r="BY22" s="178"/>
      <c r="BZ22" s="194">
        <f>SUM(BZ18:BZ20)</f>
        <v>0</v>
      </c>
      <c r="CA22" s="178"/>
      <c r="CB22" s="178"/>
      <c r="CC22" s="243"/>
      <c r="CD22" s="233" t="s">
        <v>26</v>
      </c>
      <c r="CE22" s="189"/>
      <c r="CF22" s="190">
        <f>SUM(CF18:CF20)</f>
        <v>984</v>
      </c>
      <c r="CG22" s="189"/>
      <c r="CH22" s="189"/>
      <c r="CI22" s="190">
        <f>SUM(CI18:CI20)</f>
        <v>1283</v>
      </c>
      <c r="CJ22" s="198">
        <f t="shared" si="24"/>
        <v>299</v>
      </c>
      <c r="CK22" s="192">
        <f t="shared" si="25"/>
        <v>0.23304754481683554</v>
      </c>
      <c r="CL22" s="189"/>
      <c r="CM22" s="181">
        <f>SUM(CM18:CM20)</f>
        <v>4563</v>
      </c>
      <c r="CN22" s="189"/>
      <c r="CO22" s="193"/>
      <c r="CP22" s="195">
        <f>SUM(CP18:CP20)</f>
        <v>4739</v>
      </c>
      <c r="CQ22" s="199">
        <f t="shared" si="4"/>
        <v>176</v>
      </c>
      <c r="CR22" s="192">
        <f t="shared" si="26"/>
        <v>0.03713863684321587</v>
      </c>
      <c r="CS22" s="178"/>
      <c r="CT22" s="194">
        <f>SUM(CT18:CT20)</f>
        <v>0</v>
      </c>
      <c r="CU22" s="178"/>
      <c r="CV22" s="178"/>
      <c r="CW22" s="243"/>
      <c r="CX22" s="233" t="s">
        <v>26</v>
      </c>
      <c r="CY22" s="189"/>
      <c r="CZ22" s="190">
        <f>SUM(CZ18:CZ20)</f>
        <v>1046</v>
      </c>
      <c r="DA22" s="189"/>
      <c r="DB22" s="189"/>
      <c r="DC22" s="190">
        <f>SUM(DC18:DC20)</f>
        <v>946</v>
      </c>
      <c r="DD22" s="198">
        <f t="shared" si="27"/>
        <v>-100</v>
      </c>
      <c r="DE22" s="192">
        <f t="shared" si="28"/>
        <v>-0.10570824524312897</v>
      </c>
      <c r="DF22" s="189"/>
      <c r="DG22" s="181">
        <f>SUM(DG18:DG20)</f>
        <v>5609</v>
      </c>
      <c r="DH22" s="189"/>
      <c r="DI22" s="193"/>
      <c r="DJ22" s="195">
        <f>SUM(DJ18:DJ20)</f>
        <v>5685</v>
      </c>
      <c r="DK22" s="199">
        <f t="shared" si="5"/>
        <v>76</v>
      </c>
      <c r="DL22" s="192">
        <f t="shared" si="29"/>
        <v>0.013368513632365875</v>
      </c>
      <c r="DM22" s="178"/>
      <c r="DN22" s="194">
        <f>SUM(DN18:DN20)</f>
        <v>0</v>
      </c>
      <c r="DO22" s="178"/>
      <c r="DP22" s="178"/>
      <c r="DQ22" s="243"/>
      <c r="DR22" s="233" t="s">
        <v>26</v>
      </c>
      <c r="DS22" s="189"/>
      <c r="DT22" s="190">
        <f>SUM(DT18:DT20)</f>
        <v>1047</v>
      </c>
      <c r="DU22" s="189"/>
      <c r="DV22" s="189"/>
      <c r="DW22" s="190">
        <f>SUM(DW18:DW20)</f>
        <v>890</v>
      </c>
      <c r="DX22" s="198">
        <f t="shared" si="30"/>
        <v>-157</v>
      </c>
      <c r="DY22" s="192">
        <f t="shared" si="31"/>
        <v>-0.17640449438202246</v>
      </c>
      <c r="DZ22" s="189"/>
      <c r="EA22" s="181">
        <f>SUM(EA18:EA20)</f>
        <v>6656</v>
      </c>
      <c r="EB22" s="189"/>
      <c r="EC22" s="193"/>
      <c r="ED22" s="195">
        <f>SUM(ED18:ED20)</f>
        <v>6575</v>
      </c>
      <c r="EE22" s="199">
        <f t="shared" si="6"/>
        <v>-81</v>
      </c>
      <c r="EF22" s="192">
        <f t="shared" si="32"/>
        <v>-0.012319391634980989</v>
      </c>
      <c r="EG22" s="178"/>
      <c r="EH22" s="194">
        <f>SUM(EH18:EH20)</f>
        <v>0</v>
      </c>
      <c r="EI22" s="178"/>
      <c r="EJ22" s="178"/>
      <c r="EK22" s="243"/>
      <c r="EL22" s="233" t="s">
        <v>26</v>
      </c>
      <c r="EM22" s="189"/>
      <c r="EN22" s="190">
        <f>SUM(EN18:EN20)</f>
        <v>844</v>
      </c>
      <c r="EO22" s="189"/>
      <c r="EP22" s="189"/>
      <c r="EQ22" s="190">
        <f>SUM(EQ18:EQ20)</f>
        <v>822</v>
      </c>
      <c r="ER22" s="198">
        <f t="shared" si="33"/>
        <v>-22</v>
      </c>
      <c r="ES22" s="192">
        <f t="shared" si="34"/>
        <v>-0.0267639902676399</v>
      </c>
      <c r="ET22" s="189"/>
      <c r="EU22" s="181">
        <f>SUM(EU18:EU20)</f>
        <v>7500</v>
      </c>
      <c r="EV22" s="189"/>
      <c r="EW22" s="193"/>
      <c r="EX22" s="195">
        <f>SUM(EX18:EX20)</f>
        <v>7397</v>
      </c>
      <c r="EY22" s="199">
        <f t="shared" si="7"/>
        <v>-103</v>
      </c>
      <c r="EZ22" s="192">
        <f t="shared" si="35"/>
        <v>-0.013924564012437475</v>
      </c>
      <c r="FA22" s="178"/>
      <c r="FB22" s="194">
        <f>SUM(FB18:FB20)</f>
        <v>0</v>
      </c>
      <c r="FC22" s="178"/>
      <c r="FD22" s="178"/>
      <c r="FE22" s="243"/>
      <c r="FF22" s="233" t="s">
        <v>26</v>
      </c>
      <c r="FG22" s="189"/>
      <c r="FH22" s="190">
        <f>SUM(FH18:FH20)</f>
        <v>849</v>
      </c>
      <c r="FI22" s="189"/>
      <c r="FJ22" s="189"/>
      <c r="FK22" s="190">
        <f>SUM(FK18:FK20)</f>
        <v>996</v>
      </c>
      <c r="FL22" s="198">
        <f t="shared" si="36"/>
        <v>147</v>
      </c>
      <c r="FM22" s="192">
        <f t="shared" si="37"/>
        <v>0.14759036144578314</v>
      </c>
      <c r="FN22" s="189"/>
      <c r="FO22" s="181">
        <f>SUM(FO18:FO20)</f>
        <v>8349</v>
      </c>
      <c r="FP22" s="189"/>
      <c r="FQ22" s="193"/>
      <c r="FR22" s="195">
        <f>SUM(FR18:FR20)</f>
        <v>8393</v>
      </c>
      <c r="FS22" s="199">
        <f t="shared" si="8"/>
        <v>44</v>
      </c>
      <c r="FT22" s="192">
        <f t="shared" si="38"/>
        <v>0.005242463958060288</v>
      </c>
      <c r="FU22" s="178"/>
      <c r="FV22" s="194">
        <f>SUM(FV18:FV20)</f>
        <v>0</v>
      </c>
      <c r="FW22" s="178"/>
      <c r="FX22" s="178"/>
      <c r="FY22" s="243"/>
      <c r="FZ22" s="233" t="s">
        <v>26</v>
      </c>
      <c r="GA22" s="189"/>
      <c r="GB22" s="190">
        <f>SUM(GB18:GB20)</f>
        <v>853</v>
      </c>
      <c r="GC22" s="189"/>
      <c r="GD22" s="189"/>
      <c r="GE22" s="190">
        <f>SUM(GE18:GE20)</f>
        <v>733</v>
      </c>
      <c r="GF22" s="198">
        <f t="shared" si="39"/>
        <v>-120</v>
      </c>
      <c r="GG22" s="192">
        <f t="shared" si="40"/>
        <v>-0.16371077762619374</v>
      </c>
      <c r="GH22" s="189"/>
      <c r="GI22" s="181">
        <f>SUM(GI18:GI20)</f>
        <v>9202</v>
      </c>
      <c r="GJ22" s="189"/>
      <c r="GK22" s="193"/>
      <c r="GL22" s="195">
        <f>SUM(GL18:GL20)</f>
        <v>9126</v>
      </c>
      <c r="GM22" s="199">
        <f t="shared" si="9"/>
        <v>-76</v>
      </c>
      <c r="GN22" s="192">
        <f t="shared" si="41"/>
        <v>-0.008327854481700635</v>
      </c>
      <c r="GO22" s="178"/>
      <c r="GP22" s="194">
        <f>SUM(GP18:GP20)</f>
        <v>0</v>
      </c>
      <c r="GQ22" s="178"/>
      <c r="GR22" s="178"/>
      <c r="GS22" s="243"/>
      <c r="GT22" s="233" t="s">
        <v>26</v>
      </c>
      <c r="GU22" s="189"/>
      <c r="GV22" s="190">
        <f>SUM(GV18:GV20)</f>
        <v>863</v>
      </c>
      <c r="GW22" s="189"/>
      <c r="GX22" s="189"/>
      <c r="GY22" s="190">
        <f>SUM(GY18:GY20)</f>
        <v>1085</v>
      </c>
      <c r="GZ22" s="198">
        <f t="shared" si="42"/>
        <v>222</v>
      </c>
      <c r="HA22" s="192">
        <f t="shared" si="43"/>
        <v>0.20460829493087557</v>
      </c>
      <c r="HB22" s="189"/>
      <c r="HC22" s="181">
        <f>SUM(HC18:HC20)</f>
        <v>10065</v>
      </c>
      <c r="HD22" s="189"/>
      <c r="HE22" s="193"/>
      <c r="HF22" s="195">
        <f>SUM(HF18:HF20)</f>
        <v>10211</v>
      </c>
      <c r="HG22" s="199">
        <f t="shared" si="10"/>
        <v>146</v>
      </c>
      <c r="HH22" s="192">
        <f t="shared" si="44"/>
        <v>0.01429830574870238</v>
      </c>
      <c r="HI22" s="178"/>
      <c r="HJ22" s="194">
        <f>SUM(HJ18:HJ20)</f>
        <v>0</v>
      </c>
      <c r="HK22" s="178"/>
      <c r="HL22" s="178"/>
      <c r="HM22" s="243"/>
      <c r="HN22" s="233" t="s">
        <v>26</v>
      </c>
      <c r="HO22" s="189"/>
      <c r="HP22" s="190">
        <f>SUM(HP18:HP20)</f>
        <v>1052</v>
      </c>
      <c r="HQ22" s="189"/>
      <c r="HR22" s="189"/>
      <c r="HS22" s="190">
        <f>SUM(HS18:HS20)</f>
        <v>947</v>
      </c>
      <c r="HT22" s="198">
        <f t="shared" si="45"/>
        <v>-105</v>
      </c>
      <c r="HU22" s="192">
        <f t="shared" si="46"/>
        <v>-0.11087645195353749</v>
      </c>
      <c r="HV22" s="189"/>
      <c r="HW22" s="181">
        <f>SUM(HW18:HW20)</f>
        <v>11117</v>
      </c>
      <c r="HX22" s="189"/>
      <c r="HY22" s="193"/>
      <c r="HZ22" s="195">
        <f>SUM(HZ18:HZ20)</f>
        <v>11158</v>
      </c>
      <c r="IA22" s="199">
        <f t="shared" si="11"/>
        <v>41</v>
      </c>
      <c r="IB22" s="192">
        <f t="shared" si="47"/>
        <v>0.0036744936368524827</v>
      </c>
      <c r="IC22" s="178"/>
      <c r="ID22" s="194">
        <f>SUM(ID18:ID20)</f>
        <v>0</v>
      </c>
      <c r="IE22" s="178"/>
      <c r="IF22" s="178"/>
    </row>
    <row r="23" spans="1:240" ht="12.75">
      <c r="A23" s="360" t="s">
        <v>45</v>
      </c>
      <c r="B23" s="348" t="s">
        <v>39</v>
      </c>
      <c r="C23" s="180"/>
      <c r="D23" s="181">
        <v>488</v>
      </c>
      <c r="E23" s="180"/>
      <c r="F23" s="180"/>
      <c r="G23" s="181">
        <v>694</v>
      </c>
      <c r="H23" s="197">
        <f t="shared" si="12"/>
        <v>206</v>
      </c>
      <c r="I23" s="183">
        <f t="shared" si="13"/>
        <v>0.2968299711815562</v>
      </c>
      <c r="J23" s="180"/>
      <c r="K23" s="181">
        <f>SUM(D23)</f>
        <v>488</v>
      </c>
      <c r="L23" s="180"/>
      <c r="M23" s="252"/>
      <c r="N23" s="256">
        <f>SUM(G23)</f>
        <v>694</v>
      </c>
      <c r="O23" s="257">
        <f t="shared" si="0"/>
        <v>206</v>
      </c>
      <c r="P23" s="183">
        <f t="shared" si="14"/>
        <v>0.2968299711815562</v>
      </c>
      <c r="Q23" s="178"/>
      <c r="R23" s="196">
        <f>K23/$B$50*365</f>
        <v>488</v>
      </c>
      <c r="S23" s="178"/>
      <c r="T23" s="178"/>
      <c r="U23" s="360" t="s">
        <v>45</v>
      </c>
      <c r="V23" s="348" t="s">
        <v>39</v>
      </c>
      <c r="W23" s="180"/>
      <c r="X23" s="181">
        <v>431</v>
      </c>
      <c r="Y23" s="180"/>
      <c r="Z23" s="180"/>
      <c r="AA23" s="181">
        <v>469</v>
      </c>
      <c r="AB23" s="197">
        <f t="shared" si="15"/>
        <v>38</v>
      </c>
      <c r="AC23" s="183">
        <f t="shared" si="16"/>
        <v>0.08102345415778252</v>
      </c>
      <c r="AD23" s="264"/>
      <c r="AE23" s="173">
        <f>SUM(K23+X23)</f>
        <v>919</v>
      </c>
      <c r="AF23" s="266"/>
      <c r="AG23" s="252"/>
      <c r="AH23" s="256">
        <f>SUM(N23+AA23)</f>
        <v>1163</v>
      </c>
      <c r="AI23" s="257">
        <f t="shared" si="1"/>
        <v>244</v>
      </c>
      <c r="AJ23" s="183">
        <f t="shared" si="17"/>
        <v>0.20980223559759242</v>
      </c>
      <c r="AK23" s="178"/>
      <c r="AL23" s="179"/>
      <c r="AM23" s="178"/>
      <c r="AN23" s="178"/>
      <c r="AO23" s="242" t="s">
        <v>45</v>
      </c>
      <c r="AP23" s="231" t="s">
        <v>39</v>
      </c>
      <c r="AQ23" s="180"/>
      <c r="AR23" s="181">
        <v>487</v>
      </c>
      <c r="AS23" s="180"/>
      <c r="AT23" s="180"/>
      <c r="AU23" s="181">
        <v>500</v>
      </c>
      <c r="AV23" s="197">
        <f t="shared" si="18"/>
        <v>13</v>
      </c>
      <c r="AW23" s="183">
        <f t="shared" si="19"/>
        <v>0.026</v>
      </c>
      <c r="AX23" s="264"/>
      <c r="AY23" s="173">
        <f>SUM(AE23+AR23)</f>
        <v>1406</v>
      </c>
      <c r="AZ23" s="266"/>
      <c r="BA23" s="252"/>
      <c r="BB23" s="256">
        <f>SUM(AH23+AU23)</f>
        <v>1663</v>
      </c>
      <c r="BC23" s="257">
        <f t="shared" si="2"/>
        <v>257</v>
      </c>
      <c r="BD23" s="183">
        <f t="shared" si="20"/>
        <v>0.1545399879735418</v>
      </c>
      <c r="BE23" s="178"/>
      <c r="BF23" s="179"/>
      <c r="BG23" s="178"/>
      <c r="BH23" s="178"/>
      <c r="BI23" s="242" t="s">
        <v>45</v>
      </c>
      <c r="BJ23" s="231" t="s">
        <v>39</v>
      </c>
      <c r="BK23" s="180"/>
      <c r="BL23" s="181">
        <v>522</v>
      </c>
      <c r="BM23" s="180"/>
      <c r="BN23" s="180"/>
      <c r="BO23" s="181">
        <v>442</v>
      </c>
      <c r="BP23" s="197">
        <f t="shared" si="21"/>
        <v>-80</v>
      </c>
      <c r="BQ23" s="183">
        <f t="shared" si="22"/>
        <v>-0.18099547511312217</v>
      </c>
      <c r="BR23" s="264"/>
      <c r="BS23" s="173">
        <f>SUM(AY23+BL23)</f>
        <v>1928</v>
      </c>
      <c r="BT23" s="266"/>
      <c r="BU23" s="252"/>
      <c r="BV23" s="256">
        <f>SUM(BB23+BO23)</f>
        <v>2105</v>
      </c>
      <c r="BW23" s="257">
        <f t="shared" si="3"/>
        <v>177</v>
      </c>
      <c r="BX23" s="183">
        <f t="shared" si="23"/>
        <v>0.0840855106888361</v>
      </c>
      <c r="BY23" s="178"/>
      <c r="BZ23" s="179"/>
      <c r="CA23" s="178"/>
      <c r="CB23" s="178"/>
      <c r="CC23" s="242" t="s">
        <v>45</v>
      </c>
      <c r="CD23" s="231" t="s">
        <v>39</v>
      </c>
      <c r="CE23" s="180"/>
      <c r="CF23" s="181">
        <v>443</v>
      </c>
      <c r="CG23" s="180"/>
      <c r="CH23" s="180"/>
      <c r="CI23" s="181">
        <v>524</v>
      </c>
      <c r="CJ23" s="197">
        <f t="shared" si="24"/>
        <v>81</v>
      </c>
      <c r="CK23" s="183">
        <f t="shared" si="25"/>
        <v>0.15458015267175573</v>
      </c>
      <c r="CL23" s="264"/>
      <c r="CM23" s="173">
        <f>SUM(BS23+CF23)</f>
        <v>2371</v>
      </c>
      <c r="CN23" s="266"/>
      <c r="CO23" s="252"/>
      <c r="CP23" s="256">
        <f>SUM(BV23+CI23)</f>
        <v>2629</v>
      </c>
      <c r="CQ23" s="257">
        <f t="shared" si="4"/>
        <v>258</v>
      </c>
      <c r="CR23" s="183">
        <f t="shared" si="26"/>
        <v>0.09813617344998098</v>
      </c>
      <c r="CS23" s="178"/>
      <c r="CT23" s="179"/>
      <c r="CU23" s="178"/>
      <c r="CV23" s="178"/>
      <c r="CW23" s="242" t="s">
        <v>45</v>
      </c>
      <c r="CX23" s="231" t="s">
        <v>39</v>
      </c>
      <c r="CY23" s="180"/>
      <c r="CZ23" s="181">
        <v>484</v>
      </c>
      <c r="DA23" s="180"/>
      <c r="DB23" s="180"/>
      <c r="DC23" s="181">
        <v>443</v>
      </c>
      <c r="DD23" s="197">
        <f t="shared" si="27"/>
        <v>-41</v>
      </c>
      <c r="DE23" s="183">
        <f t="shared" si="28"/>
        <v>-0.09255079006772009</v>
      </c>
      <c r="DF23" s="264"/>
      <c r="DG23" s="173">
        <f>SUM(CM23+CZ23)</f>
        <v>2855</v>
      </c>
      <c r="DH23" s="266"/>
      <c r="DI23" s="252"/>
      <c r="DJ23" s="256">
        <f>SUM(CP23+DC23)</f>
        <v>3072</v>
      </c>
      <c r="DK23" s="257">
        <f t="shared" si="5"/>
        <v>217</v>
      </c>
      <c r="DL23" s="183">
        <f t="shared" si="29"/>
        <v>0.07063802083333333</v>
      </c>
      <c r="DM23" s="178"/>
      <c r="DN23" s="179"/>
      <c r="DO23" s="178"/>
      <c r="DP23" s="178"/>
      <c r="DQ23" s="242" t="s">
        <v>45</v>
      </c>
      <c r="DR23" s="231" t="s">
        <v>39</v>
      </c>
      <c r="DS23" s="180"/>
      <c r="DT23" s="181">
        <v>642</v>
      </c>
      <c r="DU23" s="180"/>
      <c r="DV23" s="180"/>
      <c r="DW23" s="181">
        <v>462</v>
      </c>
      <c r="DX23" s="197">
        <f t="shared" si="30"/>
        <v>-180</v>
      </c>
      <c r="DY23" s="183">
        <f t="shared" si="31"/>
        <v>-0.38961038961038963</v>
      </c>
      <c r="DZ23" s="264"/>
      <c r="EA23" s="173">
        <f>SUM(DG23+DT23)</f>
        <v>3497</v>
      </c>
      <c r="EB23" s="266"/>
      <c r="EC23" s="252"/>
      <c r="ED23" s="256">
        <f>SUM(DJ23+DW23)</f>
        <v>3534</v>
      </c>
      <c r="EE23" s="257">
        <f t="shared" si="6"/>
        <v>37</v>
      </c>
      <c r="EF23" s="183">
        <f t="shared" si="32"/>
        <v>0.010469722693831352</v>
      </c>
      <c r="EG23" s="178"/>
      <c r="EH23" s="179"/>
      <c r="EI23" s="178"/>
      <c r="EJ23" s="178"/>
      <c r="EK23" s="242" t="s">
        <v>45</v>
      </c>
      <c r="EL23" s="231" t="s">
        <v>39</v>
      </c>
      <c r="EM23" s="180"/>
      <c r="EN23" s="181">
        <v>462</v>
      </c>
      <c r="EO23" s="180"/>
      <c r="EP23" s="180"/>
      <c r="EQ23" s="181">
        <v>387</v>
      </c>
      <c r="ER23" s="197">
        <f t="shared" si="33"/>
        <v>-75</v>
      </c>
      <c r="ES23" s="183">
        <f t="shared" si="34"/>
        <v>-0.1937984496124031</v>
      </c>
      <c r="ET23" s="264"/>
      <c r="EU23" s="173">
        <f>SUM(EA23+EN23)</f>
        <v>3959</v>
      </c>
      <c r="EV23" s="266"/>
      <c r="EW23" s="252"/>
      <c r="EX23" s="256">
        <f>SUM(ED23+EQ23)</f>
        <v>3921</v>
      </c>
      <c r="EY23" s="257">
        <f t="shared" si="7"/>
        <v>-38</v>
      </c>
      <c r="EZ23" s="183">
        <f t="shared" si="35"/>
        <v>-0.009691405253761795</v>
      </c>
      <c r="FA23" s="178"/>
      <c r="FB23" s="179"/>
      <c r="FC23" s="178"/>
      <c r="FD23" s="178"/>
      <c r="FE23" s="242" t="s">
        <v>45</v>
      </c>
      <c r="FF23" s="231" t="s">
        <v>39</v>
      </c>
      <c r="FG23" s="180"/>
      <c r="FH23" s="181">
        <v>499</v>
      </c>
      <c r="FI23" s="180"/>
      <c r="FJ23" s="180"/>
      <c r="FK23" s="181">
        <v>530</v>
      </c>
      <c r="FL23" s="197">
        <f t="shared" si="36"/>
        <v>31</v>
      </c>
      <c r="FM23" s="183">
        <f t="shared" si="37"/>
        <v>0.05849056603773585</v>
      </c>
      <c r="FN23" s="264"/>
      <c r="FO23" s="173">
        <f>SUM(EU23+FH23)</f>
        <v>4458</v>
      </c>
      <c r="FP23" s="266"/>
      <c r="FQ23" s="252"/>
      <c r="FR23" s="256">
        <f>SUM(EX23+FK23)</f>
        <v>4451</v>
      </c>
      <c r="FS23" s="257">
        <f t="shared" si="8"/>
        <v>-7</v>
      </c>
      <c r="FT23" s="183">
        <f t="shared" si="38"/>
        <v>-0.0015726802965625702</v>
      </c>
      <c r="FU23" s="178"/>
      <c r="FV23" s="179"/>
      <c r="FW23" s="178"/>
      <c r="FX23" s="178"/>
      <c r="FY23" s="242" t="s">
        <v>45</v>
      </c>
      <c r="FZ23" s="231" t="s">
        <v>39</v>
      </c>
      <c r="GA23" s="180"/>
      <c r="GB23" s="181">
        <v>481</v>
      </c>
      <c r="GC23" s="180"/>
      <c r="GD23" s="180"/>
      <c r="GE23" s="181">
        <v>401</v>
      </c>
      <c r="GF23" s="197">
        <f t="shared" si="39"/>
        <v>-80</v>
      </c>
      <c r="GG23" s="183">
        <f t="shared" si="40"/>
        <v>-0.19950124688279303</v>
      </c>
      <c r="GH23" s="264"/>
      <c r="GI23" s="173">
        <f>SUM(FO23+GB23)</f>
        <v>4939</v>
      </c>
      <c r="GJ23" s="266"/>
      <c r="GK23" s="252"/>
      <c r="GL23" s="256">
        <f>SUM(FR23+GE23)</f>
        <v>4852</v>
      </c>
      <c r="GM23" s="257">
        <f t="shared" si="9"/>
        <v>-87</v>
      </c>
      <c r="GN23" s="183">
        <f t="shared" si="41"/>
        <v>-0.017930750206100576</v>
      </c>
      <c r="GO23" s="178"/>
      <c r="GP23" s="179"/>
      <c r="GQ23" s="178"/>
      <c r="GR23" s="178"/>
      <c r="GS23" s="242" t="s">
        <v>45</v>
      </c>
      <c r="GT23" s="231" t="s">
        <v>39</v>
      </c>
      <c r="GU23" s="180"/>
      <c r="GV23" s="181">
        <v>423</v>
      </c>
      <c r="GW23" s="180"/>
      <c r="GX23" s="180"/>
      <c r="GY23" s="181">
        <v>470</v>
      </c>
      <c r="GZ23" s="197">
        <f t="shared" si="42"/>
        <v>47</v>
      </c>
      <c r="HA23" s="183">
        <f t="shared" si="43"/>
        <v>0.1</v>
      </c>
      <c r="HB23" s="264"/>
      <c r="HC23" s="173">
        <f>SUM(GI23+GV23)</f>
        <v>5362</v>
      </c>
      <c r="HD23" s="266"/>
      <c r="HE23" s="252"/>
      <c r="HF23" s="256">
        <f>SUM(GL23+GY23)</f>
        <v>5322</v>
      </c>
      <c r="HG23" s="257">
        <f t="shared" si="10"/>
        <v>-40</v>
      </c>
      <c r="HH23" s="183">
        <f t="shared" si="44"/>
        <v>-0.00751597143930853</v>
      </c>
      <c r="HI23" s="178"/>
      <c r="HJ23" s="179"/>
      <c r="HK23" s="178"/>
      <c r="HL23" s="178"/>
      <c r="HM23" s="242" t="s">
        <v>45</v>
      </c>
      <c r="HN23" s="231" t="s">
        <v>39</v>
      </c>
      <c r="HO23" s="180"/>
      <c r="HP23" s="181">
        <v>513</v>
      </c>
      <c r="HQ23" s="180"/>
      <c r="HR23" s="180"/>
      <c r="HS23" s="181">
        <v>489</v>
      </c>
      <c r="HT23" s="197">
        <f t="shared" si="45"/>
        <v>-24</v>
      </c>
      <c r="HU23" s="183">
        <f t="shared" si="46"/>
        <v>-0.049079754601226995</v>
      </c>
      <c r="HV23" s="264"/>
      <c r="HW23" s="173">
        <f>SUM(HC23+HP23)</f>
        <v>5875</v>
      </c>
      <c r="HX23" s="266"/>
      <c r="HY23" s="252"/>
      <c r="HZ23" s="256">
        <f>SUM(HF23+HS23)</f>
        <v>5811</v>
      </c>
      <c r="IA23" s="257">
        <f t="shared" si="11"/>
        <v>-64</v>
      </c>
      <c r="IB23" s="183">
        <f t="shared" si="47"/>
        <v>-0.011013594906212357</v>
      </c>
      <c r="IC23" s="178"/>
      <c r="ID23" s="179"/>
      <c r="IE23" s="178"/>
      <c r="IF23" s="178"/>
    </row>
    <row r="24" spans="1:240" ht="13.5" thickBot="1">
      <c r="A24" s="242"/>
      <c r="B24" s="244" t="s">
        <v>40</v>
      </c>
      <c r="C24" s="180"/>
      <c r="D24" s="181">
        <v>76</v>
      </c>
      <c r="E24" s="180"/>
      <c r="F24" s="180"/>
      <c r="G24" s="181">
        <v>61</v>
      </c>
      <c r="H24" s="197">
        <f t="shared" si="12"/>
        <v>-15</v>
      </c>
      <c r="I24" s="183">
        <f t="shared" si="13"/>
        <v>-0.2459016393442623</v>
      </c>
      <c r="J24" s="180"/>
      <c r="K24" s="181">
        <f>SUM(D24)</f>
        <v>76</v>
      </c>
      <c r="L24" s="180"/>
      <c r="M24" s="252"/>
      <c r="N24" s="195">
        <f>SUM(G24)</f>
        <v>61</v>
      </c>
      <c r="O24" s="257">
        <f t="shared" si="0"/>
        <v>-15</v>
      </c>
      <c r="P24" s="183">
        <f t="shared" si="14"/>
        <v>-0.2459016393442623</v>
      </c>
      <c r="Q24" s="178"/>
      <c r="R24" s="196">
        <f>K24/$B$50*365</f>
        <v>76</v>
      </c>
      <c r="S24" s="178"/>
      <c r="T24" s="178"/>
      <c r="U24" s="242"/>
      <c r="V24" s="244" t="s">
        <v>40</v>
      </c>
      <c r="W24" s="180"/>
      <c r="X24" s="181">
        <v>52</v>
      </c>
      <c r="Y24" s="180"/>
      <c r="Z24" s="180"/>
      <c r="AA24" s="181">
        <v>38</v>
      </c>
      <c r="AB24" s="197">
        <f t="shared" si="15"/>
        <v>-14</v>
      </c>
      <c r="AC24" s="183">
        <f t="shared" si="16"/>
        <v>-0.3684210526315789</v>
      </c>
      <c r="AD24" s="264"/>
      <c r="AE24" s="181">
        <f>SUM(K24+X24)</f>
        <v>128</v>
      </c>
      <c r="AF24" s="266"/>
      <c r="AG24" s="252"/>
      <c r="AH24" s="195">
        <f>SUM(N24+AA24)</f>
        <v>99</v>
      </c>
      <c r="AI24" s="257">
        <f t="shared" si="1"/>
        <v>-29</v>
      </c>
      <c r="AJ24" s="183">
        <f t="shared" si="17"/>
        <v>-0.29292929292929293</v>
      </c>
      <c r="AK24" s="178"/>
      <c r="AL24" s="187"/>
      <c r="AM24" s="178"/>
      <c r="AN24" s="178"/>
      <c r="AO24" s="242"/>
      <c r="AP24" s="228" t="s">
        <v>40</v>
      </c>
      <c r="AQ24" s="180"/>
      <c r="AR24" s="181">
        <v>54</v>
      </c>
      <c r="AS24" s="180"/>
      <c r="AT24" s="180"/>
      <c r="AU24" s="181">
        <v>74</v>
      </c>
      <c r="AV24" s="197">
        <f t="shared" si="18"/>
        <v>20</v>
      </c>
      <c r="AW24" s="183">
        <f t="shared" si="19"/>
        <v>0.2702702702702703</v>
      </c>
      <c r="AX24" s="264"/>
      <c r="AY24" s="181">
        <f>SUM(AE24+AR24)</f>
        <v>182</v>
      </c>
      <c r="AZ24" s="266"/>
      <c r="BA24" s="252"/>
      <c r="BB24" s="195">
        <f>SUM(AH24+AU24)</f>
        <v>173</v>
      </c>
      <c r="BC24" s="257">
        <f t="shared" si="2"/>
        <v>-9</v>
      </c>
      <c r="BD24" s="183">
        <f t="shared" si="20"/>
        <v>-0.05202312138728324</v>
      </c>
      <c r="BE24" s="178"/>
      <c r="BF24" s="187"/>
      <c r="BG24" s="178"/>
      <c r="BH24" s="178"/>
      <c r="BI24" s="242"/>
      <c r="BJ24" s="228" t="s">
        <v>40</v>
      </c>
      <c r="BK24" s="180"/>
      <c r="BL24" s="181">
        <v>53</v>
      </c>
      <c r="BM24" s="180"/>
      <c r="BN24" s="180"/>
      <c r="BO24" s="181">
        <v>66</v>
      </c>
      <c r="BP24" s="197">
        <f t="shared" si="21"/>
        <v>13</v>
      </c>
      <c r="BQ24" s="183">
        <f t="shared" si="22"/>
        <v>0.19696969696969696</v>
      </c>
      <c r="BR24" s="264"/>
      <c r="BS24" s="202">
        <f>SUM(AY24+BL24)</f>
        <v>235</v>
      </c>
      <c r="BT24" s="266"/>
      <c r="BU24" s="252"/>
      <c r="BV24" s="255">
        <f>SUM(BB24+BO24)</f>
        <v>239</v>
      </c>
      <c r="BW24" s="257">
        <f t="shared" si="3"/>
        <v>4</v>
      </c>
      <c r="BX24" s="183">
        <f t="shared" si="23"/>
        <v>0.016736401673640166</v>
      </c>
      <c r="BY24" s="178"/>
      <c r="BZ24" s="187"/>
      <c r="CA24" s="178"/>
      <c r="CB24" s="178"/>
      <c r="CC24" s="242"/>
      <c r="CD24" s="228" t="s">
        <v>40</v>
      </c>
      <c r="CE24" s="180"/>
      <c r="CF24" s="181">
        <v>58</v>
      </c>
      <c r="CG24" s="180"/>
      <c r="CH24" s="180"/>
      <c r="CI24" s="181">
        <v>66</v>
      </c>
      <c r="CJ24" s="197">
        <f t="shared" si="24"/>
        <v>8</v>
      </c>
      <c r="CK24" s="183">
        <f t="shared" si="25"/>
        <v>0.12121212121212122</v>
      </c>
      <c r="CL24" s="264"/>
      <c r="CM24" s="202">
        <f>SUM(BS24+CF24)</f>
        <v>293</v>
      </c>
      <c r="CN24" s="266"/>
      <c r="CO24" s="252"/>
      <c r="CP24" s="255">
        <f>SUM(BV24+CI24)</f>
        <v>305</v>
      </c>
      <c r="CQ24" s="257">
        <f t="shared" si="4"/>
        <v>12</v>
      </c>
      <c r="CR24" s="183">
        <f t="shared" si="26"/>
        <v>0.03934426229508197</v>
      </c>
      <c r="CS24" s="178"/>
      <c r="CT24" s="187"/>
      <c r="CU24" s="178"/>
      <c r="CV24" s="178"/>
      <c r="CW24" s="242"/>
      <c r="CX24" s="228" t="s">
        <v>40</v>
      </c>
      <c r="CY24" s="180"/>
      <c r="CZ24" s="181">
        <v>61</v>
      </c>
      <c r="DA24" s="180"/>
      <c r="DB24" s="180"/>
      <c r="DC24" s="181">
        <v>49</v>
      </c>
      <c r="DD24" s="197">
        <f t="shared" si="27"/>
        <v>-12</v>
      </c>
      <c r="DE24" s="183">
        <f t="shared" si="28"/>
        <v>-0.24489795918367346</v>
      </c>
      <c r="DF24" s="264"/>
      <c r="DG24" s="202">
        <f>SUM(CM24+CZ24)</f>
        <v>354</v>
      </c>
      <c r="DH24" s="266"/>
      <c r="DI24" s="252"/>
      <c r="DJ24" s="255">
        <f>SUM(CP24+DC24)</f>
        <v>354</v>
      </c>
      <c r="DK24" s="257">
        <f t="shared" si="5"/>
        <v>0</v>
      </c>
      <c r="DL24" s="183">
        <f t="shared" si="29"/>
        <v>0</v>
      </c>
      <c r="DM24" s="178"/>
      <c r="DN24" s="187"/>
      <c r="DO24" s="178"/>
      <c r="DP24" s="178"/>
      <c r="DQ24" s="242"/>
      <c r="DR24" s="228" t="s">
        <v>40</v>
      </c>
      <c r="DS24" s="180"/>
      <c r="DT24" s="181">
        <v>76</v>
      </c>
      <c r="DU24" s="180"/>
      <c r="DV24" s="180"/>
      <c r="DW24" s="181">
        <v>63</v>
      </c>
      <c r="DX24" s="197">
        <f t="shared" si="30"/>
        <v>-13</v>
      </c>
      <c r="DY24" s="183">
        <f t="shared" si="31"/>
        <v>-0.20634920634920634</v>
      </c>
      <c r="DZ24" s="264"/>
      <c r="EA24" s="202">
        <f>SUM(DG24+DT24)</f>
        <v>430</v>
      </c>
      <c r="EB24" s="266"/>
      <c r="EC24" s="252"/>
      <c r="ED24" s="255">
        <f>SUM(DJ24+DW24)</f>
        <v>417</v>
      </c>
      <c r="EE24" s="257">
        <f t="shared" si="6"/>
        <v>-13</v>
      </c>
      <c r="EF24" s="183">
        <f t="shared" si="32"/>
        <v>-0.03117505995203837</v>
      </c>
      <c r="EG24" s="178"/>
      <c r="EH24" s="187"/>
      <c r="EI24" s="178"/>
      <c r="EJ24" s="178"/>
      <c r="EK24" s="242"/>
      <c r="EL24" s="228" t="s">
        <v>40</v>
      </c>
      <c r="EM24" s="180"/>
      <c r="EN24" s="181">
        <v>64</v>
      </c>
      <c r="EO24" s="180"/>
      <c r="EP24" s="180"/>
      <c r="EQ24" s="181">
        <v>60</v>
      </c>
      <c r="ER24" s="197">
        <f t="shared" si="33"/>
        <v>-4</v>
      </c>
      <c r="ES24" s="183">
        <f t="shared" si="34"/>
        <v>-0.06666666666666667</v>
      </c>
      <c r="ET24" s="264"/>
      <c r="EU24" s="202">
        <f>SUM(EA24+EN24)</f>
        <v>494</v>
      </c>
      <c r="EV24" s="266"/>
      <c r="EW24" s="252"/>
      <c r="EX24" s="255">
        <f>SUM(ED24+EQ24)</f>
        <v>477</v>
      </c>
      <c r="EY24" s="257">
        <f t="shared" si="7"/>
        <v>-17</v>
      </c>
      <c r="EZ24" s="183">
        <f t="shared" si="35"/>
        <v>-0.03563941299790356</v>
      </c>
      <c r="FA24" s="178"/>
      <c r="FB24" s="187"/>
      <c r="FC24" s="178"/>
      <c r="FD24" s="178"/>
      <c r="FE24" s="242"/>
      <c r="FF24" s="228" t="s">
        <v>40</v>
      </c>
      <c r="FG24" s="180"/>
      <c r="FH24" s="181">
        <v>48</v>
      </c>
      <c r="FI24" s="180"/>
      <c r="FJ24" s="180"/>
      <c r="FK24" s="181">
        <v>54</v>
      </c>
      <c r="FL24" s="197">
        <f t="shared" si="36"/>
        <v>6</v>
      </c>
      <c r="FM24" s="183">
        <f t="shared" si="37"/>
        <v>0.1111111111111111</v>
      </c>
      <c r="FN24" s="264"/>
      <c r="FO24" s="202">
        <f>SUM(EU24+FH24)</f>
        <v>542</v>
      </c>
      <c r="FP24" s="266"/>
      <c r="FQ24" s="252"/>
      <c r="FR24" s="255">
        <f>SUM(EX24+FK24)</f>
        <v>531</v>
      </c>
      <c r="FS24" s="257">
        <f t="shared" si="8"/>
        <v>-11</v>
      </c>
      <c r="FT24" s="183">
        <f t="shared" si="38"/>
        <v>-0.02071563088512241</v>
      </c>
      <c r="FU24" s="178"/>
      <c r="FV24" s="187"/>
      <c r="FW24" s="178"/>
      <c r="FX24" s="178"/>
      <c r="FY24" s="242"/>
      <c r="FZ24" s="228" t="s">
        <v>40</v>
      </c>
      <c r="GA24" s="180"/>
      <c r="GB24" s="181">
        <v>33</v>
      </c>
      <c r="GC24" s="180"/>
      <c r="GD24" s="180"/>
      <c r="GE24" s="181">
        <v>37</v>
      </c>
      <c r="GF24" s="197">
        <f t="shared" si="39"/>
        <v>4</v>
      </c>
      <c r="GG24" s="183">
        <f t="shared" si="40"/>
        <v>0.10810810810810811</v>
      </c>
      <c r="GH24" s="264"/>
      <c r="GI24" s="202">
        <f>SUM(FO24+GB24)</f>
        <v>575</v>
      </c>
      <c r="GJ24" s="266"/>
      <c r="GK24" s="252"/>
      <c r="GL24" s="255">
        <f>SUM(FR24+GE24)</f>
        <v>568</v>
      </c>
      <c r="GM24" s="257">
        <f t="shared" si="9"/>
        <v>-7</v>
      </c>
      <c r="GN24" s="183">
        <f t="shared" si="41"/>
        <v>-0.01232394366197183</v>
      </c>
      <c r="GO24" s="178"/>
      <c r="GP24" s="187"/>
      <c r="GQ24" s="178"/>
      <c r="GR24" s="178"/>
      <c r="GS24" s="242"/>
      <c r="GT24" s="228" t="s">
        <v>40</v>
      </c>
      <c r="GU24" s="180"/>
      <c r="GV24" s="181">
        <v>36</v>
      </c>
      <c r="GW24" s="180"/>
      <c r="GX24" s="180"/>
      <c r="GY24" s="181">
        <v>57</v>
      </c>
      <c r="GZ24" s="197">
        <f t="shared" si="42"/>
        <v>21</v>
      </c>
      <c r="HA24" s="183">
        <f t="shared" si="43"/>
        <v>0.3684210526315789</v>
      </c>
      <c r="HB24" s="264"/>
      <c r="HC24" s="202">
        <f>SUM(GI24+GV24)</f>
        <v>611</v>
      </c>
      <c r="HD24" s="266"/>
      <c r="HE24" s="252"/>
      <c r="HF24" s="255">
        <f>SUM(GL24+GY24)</f>
        <v>625</v>
      </c>
      <c r="HG24" s="257">
        <f t="shared" si="10"/>
        <v>14</v>
      </c>
      <c r="HH24" s="183">
        <f t="shared" si="44"/>
        <v>0.0224</v>
      </c>
      <c r="HI24" s="178"/>
      <c r="HJ24" s="187"/>
      <c r="HK24" s="178"/>
      <c r="HL24" s="178"/>
      <c r="HM24" s="242"/>
      <c r="HN24" s="228" t="s">
        <v>40</v>
      </c>
      <c r="HO24" s="180"/>
      <c r="HP24" s="181">
        <v>52</v>
      </c>
      <c r="HQ24" s="180"/>
      <c r="HR24" s="180"/>
      <c r="HS24" s="181">
        <v>83</v>
      </c>
      <c r="HT24" s="197">
        <f t="shared" si="45"/>
        <v>31</v>
      </c>
      <c r="HU24" s="183">
        <f t="shared" si="46"/>
        <v>0.37349397590361444</v>
      </c>
      <c r="HV24" s="264"/>
      <c r="HW24" s="202">
        <f>SUM(HC24+HP24)</f>
        <v>663</v>
      </c>
      <c r="HX24" s="266"/>
      <c r="HY24" s="252"/>
      <c r="HZ24" s="255">
        <f>SUM(HF24+HS24)</f>
        <v>708</v>
      </c>
      <c r="IA24" s="257">
        <f t="shared" si="11"/>
        <v>45</v>
      </c>
      <c r="IB24" s="183">
        <f t="shared" si="47"/>
        <v>0.0635593220338983</v>
      </c>
      <c r="IC24" s="178"/>
      <c r="ID24" s="187"/>
      <c r="IE24" s="178"/>
      <c r="IF24" s="178"/>
    </row>
    <row r="25" spans="1:240" ht="13.5" thickBot="1">
      <c r="A25" s="242"/>
      <c r="B25" s="244" t="s">
        <v>211</v>
      </c>
      <c r="C25" s="180"/>
      <c r="D25" s="181">
        <v>23</v>
      </c>
      <c r="E25" s="180"/>
      <c r="F25" s="180"/>
      <c r="G25" s="195">
        <v>14</v>
      </c>
      <c r="H25" s="197">
        <f t="shared" si="12"/>
        <v>-9</v>
      </c>
      <c r="I25" s="183">
        <f t="shared" si="13"/>
        <v>-0.6428571428571429</v>
      </c>
      <c r="J25" s="180"/>
      <c r="K25" s="181">
        <f>SUM(D25)</f>
        <v>23</v>
      </c>
      <c r="L25" s="180"/>
      <c r="M25" s="252"/>
      <c r="N25" s="255">
        <f>SUM(G25)</f>
        <v>14</v>
      </c>
      <c r="O25" s="257">
        <f t="shared" si="0"/>
        <v>-9</v>
      </c>
      <c r="P25" s="183">
        <f t="shared" si="14"/>
        <v>-0.6428571428571429</v>
      </c>
      <c r="Q25" s="178"/>
      <c r="R25" s="196">
        <f>K25/$B$50*365</f>
        <v>23</v>
      </c>
      <c r="S25" s="178"/>
      <c r="T25" s="178"/>
      <c r="U25" s="242"/>
      <c r="V25" s="244" t="s">
        <v>211</v>
      </c>
      <c r="W25" s="180"/>
      <c r="X25" s="181">
        <v>23</v>
      </c>
      <c r="Y25" s="180"/>
      <c r="Z25" s="180"/>
      <c r="AA25" s="181">
        <v>0</v>
      </c>
      <c r="AB25" s="197">
        <f t="shared" si="15"/>
        <v>-23</v>
      </c>
      <c r="AC25" s="183">
        <v>0</v>
      </c>
      <c r="AD25" s="264"/>
      <c r="AE25" s="181">
        <f>SUM(K25+X25)</f>
        <v>46</v>
      </c>
      <c r="AF25" s="266"/>
      <c r="AG25" s="252"/>
      <c r="AH25" s="195">
        <f>SUM(N25+AA25)</f>
        <v>14</v>
      </c>
      <c r="AI25" s="257">
        <f t="shared" si="1"/>
        <v>-32</v>
      </c>
      <c r="AJ25" s="183">
        <f t="shared" si="17"/>
        <v>-2.2857142857142856</v>
      </c>
      <c r="AK25" s="178"/>
      <c r="AL25" s="187"/>
      <c r="AM25" s="178"/>
      <c r="AN25" s="178"/>
      <c r="AO25" s="242"/>
      <c r="AP25" s="228"/>
      <c r="AQ25" s="180"/>
      <c r="AR25" s="181"/>
      <c r="AS25" s="180"/>
      <c r="AT25" s="180"/>
      <c r="AU25" s="181"/>
      <c r="AV25" s="197"/>
      <c r="AW25" s="183"/>
      <c r="AX25" s="264"/>
      <c r="AY25" s="202"/>
      <c r="AZ25" s="266"/>
      <c r="BA25" s="252"/>
      <c r="BB25" s="255"/>
      <c r="BC25" s="257"/>
      <c r="BD25" s="183"/>
      <c r="BE25" s="178"/>
      <c r="BF25" s="187"/>
      <c r="BG25" s="178"/>
      <c r="BH25" s="178"/>
      <c r="BI25" s="242"/>
      <c r="BJ25" s="228"/>
      <c r="BK25" s="180"/>
      <c r="BL25" s="181"/>
      <c r="BM25" s="180"/>
      <c r="BN25" s="180"/>
      <c r="BO25" s="181"/>
      <c r="BP25" s="197"/>
      <c r="BQ25" s="183"/>
      <c r="BR25" s="264"/>
      <c r="BS25" s="202"/>
      <c r="BT25" s="266"/>
      <c r="BU25" s="252"/>
      <c r="BV25" s="255"/>
      <c r="BW25" s="257"/>
      <c r="BX25" s="183"/>
      <c r="BY25" s="178"/>
      <c r="BZ25" s="187"/>
      <c r="CA25" s="178"/>
      <c r="CB25" s="178"/>
      <c r="CC25" s="242"/>
      <c r="CD25" s="228"/>
      <c r="CE25" s="180"/>
      <c r="CF25" s="181"/>
      <c r="CG25" s="180"/>
      <c r="CH25" s="180"/>
      <c r="CI25" s="181"/>
      <c r="CJ25" s="197"/>
      <c r="CK25" s="183"/>
      <c r="CL25" s="264"/>
      <c r="CM25" s="202"/>
      <c r="CN25" s="266"/>
      <c r="CO25" s="252"/>
      <c r="CP25" s="255"/>
      <c r="CQ25" s="257"/>
      <c r="CR25" s="183"/>
      <c r="CS25" s="178"/>
      <c r="CT25" s="187"/>
      <c r="CU25" s="178"/>
      <c r="CV25" s="178"/>
      <c r="CW25" s="242"/>
      <c r="CX25" s="228"/>
      <c r="CY25" s="180"/>
      <c r="CZ25" s="181"/>
      <c r="DA25" s="180"/>
      <c r="DB25" s="180"/>
      <c r="DC25" s="181"/>
      <c r="DD25" s="197"/>
      <c r="DE25" s="183"/>
      <c r="DF25" s="264"/>
      <c r="DG25" s="202"/>
      <c r="DH25" s="266"/>
      <c r="DI25" s="252"/>
      <c r="DJ25" s="255"/>
      <c r="DK25" s="257"/>
      <c r="DL25" s="183"/>
      <c r="DM25" s="178"/>
      <c r="DN25" s="187"/>
      <c r="DO25" s="178"/>
      <c r="DP25" s="178"/>
      <c r="DQ25" s="242"/>
      <c r="DR25" s="228"/>
      <c r="DS25" s="180"/>
      <c r="DT25" s="181"/>
      <c r="DU25" s="180"/>
      <c r="DV25" s="180"/>
      <c r="DW25" s="181"/>
      <c r="DX25" s="197"/>
      <c r="DY25" s="183"/>
      <c r="DZ25" s="264"/>
      <c r="EA25" s="202"/>
      <c r="EB25" s="266"/>
      <c r="EC25" s="252"/>
      <c r="ED25" s="255"/>
      <c r="EE25" s="257"/>
      <c r="EF25" s="183"/>
      <c r="EG25" s="178"/>
      <c r="EH25" s="187"/>
      <c r="EI25" s="178"/>
      <c r="EJ25" s="178"/>
      <c r="EK25" s="242"/>
      <c r="EL25" s="228"/>
      <c r="EM25" s="180"/>
      <c r="EN25" s="181"/>
      <c r="EO25" s="180"/>
      <c r="EP25" s="180"/>
      <c r="EQ25" s="181"/>
      <c r="ER25" s="197"/>
      <c r="ES25" s="183"/>
      <c r="ET25" s="264"/>
      <c r="EU25" s="202"/>
      <c r="EV25" s="266"/>
      <c r="EW25" s="252"/>
      <c r="EX25" s="255"/>
      <c r="EY25" s="257"/>
      <c r="EZ25" s="183"/>
      <c r="FA25" s="178"/>
      <c r="FB25" s="187"/>
      <c r="FC25" s="178"/>
      <c r="FD25" s="178"/>
      <c r="FE25" s="242"/>
      <c r="FF25" s="228"/>
      <c r="FG25" s="180"/>
      <c r="FH25" s="181"/>
      <c r="FI25" s="180"/>
      <c r="FJ25" s="180"/>
      <c r="FK25" s="181"/>
      <c r="FL25" s="197"/>
      <c r="FM25" s="183"/>
      <c r="FN25" s="264"/>
      <c r="FO25" s="202"/>
      <c r="FP25" s="266"/>
      <c r="FQ25" s="252"/>
      <c r="FR25" s="255"/>
      <c r="FS25" s="257"/>
      <c r="FT25" s="183"/>
      <c r="FU25" s="178"/>
      <c r="FV25" s="187"/>
      <c r="FW25" s="178"/>
      <c r="FX25" s="178"/>
      <c r="FY25" s="242"/>
      <c r="FZ25" s="228"/>
      <c r="GA25" s="180"/>
      <c r="GB25" s="181"/>
      <c r="GC25" s="180"/>
      <c r="GD25" s="180"/>
      <c r="GE25" s="181"/>
      <c r="GF25" s="197"/>
      <c r="GG25" s="183"/>
      <c r="GH25" s="264"/>
      <c r="GI25" s="202"/>
      <c r="GJ25" s="266"/>
      <c r="GK25" s="252"/>
      <c r="GL25" s="255"/>
      <c r="GM25" s="257"/>
      <c r="GN25" s="183"/>
      <c r="GO25" s="178"/>
      <c r="GP25" s="187"/>
      <c r="GQ25" s="178"/>
      <c r="GR25" s="178"/>
      <c r="GS25" s="242"/>
      <c r="GT25" s="228"/>
      <c r="GU25" s="180"/>
      <c r="GV25" s="181"/>
      <c r="GW25" s="180"/>
      <c r="GX25" s="180"/>
      <c r="GY25" s="181"/>
      <c r="GZ25" s="197"/>
      <c r="HA25" s="183"/>
      <c r="HB25" s="264"/>
      <c r="HC25" s="202"/>
      <c r="HD25" s="266"/>
      <c r="HE25" s="252"/>
      <c r="HF25" s="255"/>
      <c r="HG25" s="257"/>
      <c r="HH25" s="183"/>
      <c r="HI25" s="178"/>
      <c r="HJ25" s="187"/>
      <c r="HK25" s="178"/>
      <c r="HL25" s="178"/>
      <c r="HM25" s="242"/>
      <c r="HN25" s="228"/>
      <c r="HO25" s="180"/>
      <c r="HP25" s="181"/>
      <c r="HQ25" s="180"/>
      <c r="HR25" s="180"/>
      <c r="HS25" s="181"/>
      <c r="HT25" s="197"/>
      <c r="HU25" s="183"/>
      <c r="HV25" s="264"/>
      <c r="HW25" s="202"/>
      <c r="HX25" s="266"/>
      <c r="HY25" s="252"/>
      <c r="HZ25" s="255"/>
      <c r="IA25" s="257"/>
      <c r="IB25" s="183"/>
      <c r="IC25" s="178"/>
      <c r="ID25" s="187"/>
      <c r="IE25" s="178"/>
      <c r="IF25" s="178"/>
    </row>
    <row r="26" spans="1:240" ht="13.5" thickBot="1">
      <c r="A26" s="243"/>
      <c r="B26" s="233" t="s">
        <v>26</v>
      </c>
      <c r="C26" s="189"/>
      <c r="D26" s="190">
        <f>SUM(D23:D25)</f>
        <v>587</v>
      </c>
      <c r="E26" s="189"/>
      <c r="F26" s="189"/>
      <c r="G26" s="190">
        <f>SUM(G23:G25)</f>
        <v>769</v>
      </c>
      <c r="H26" s="198">
        <f t="shared" si="12"/>
        <v>182</v>
      </c>
      <c r="I26" s="192">
        <f t="shared" si="13"/>
        <v>0.23667100130039012</v>
      </c>
      <c r="J26" s="189"/>
      <c r="K26" s="190">
        <f>SUM(K23:K25)</f>
        <v>587</v>
      </c>
      <c r="L26" s="189"/>
      <c r="M26" s="193"/>
      <c r="N26" s="190">
        <f>SUM(N23:N25)</f>
        <v>769</v>
      </c>
      <c r="O26" s="190">
        <f>SUM(O23:O25)</f>
        <v>182</v>
      </c>
      <c r="P26" s="192">
        <f t="shared" si="14"/>
        <v>0.23667100130039012</v>
      </c>
      <c r="Q26" s="178"/>
      <c r="R26" s="197">
        <f>SUM(R23:R24)</f>
        <v>564</v>
      </c>
      <c r="S26" s="178"/>
      <c r="T26" s="178"/>
      <c r="U26" s="243"/>
      <c r="V26" s="233" t="s">
        <v>26</v>
      </c>
      <c r="W26" s="189"/>
      <c r="X26" s="190">
        <f>SUM(X23:X25)</f>
        <v>506</v>
      </c>
      <c r="Y26" s="189"/>
      <c r="Z26" s="189"/>
      <c r="AA26" s="190">
        <f>SUM(AA23:AA24)</f>
        <v>507</v>
      </c>
      <c r="AB26" s="198">
        <f t="shared" si="15"/>
        <v>1</v>
      </c>
      <c r="AC26" s="192">
        <f t="shared" si="16"/>
        <v>0.0019723865877712033</v>
      </c>
      <c r="AD26" s="189"/>
      <c r="AE26" s="190">
        <f>SUM(AE23:AE24)</f>
        <v>1047</v>
      </c>
      <c r="AF26" s="189"/>
      <c r="AG26" s="193"/>
      <c r="AH26" s="260">
        <f>SUM(AH23:AH24)</f>
        <v>1262</v>
      </c>
      <c r="AI26" s="199">
        <f t="shared" si="1"/>
        <v>215</v>
      </c>
      <c r="AJ26" s="192">
        <f t="shared" si="17"/>
        <v>0.17036450079239301</v>
      </c>
      <c r="AK26" s="178"/>
      <c r="AL26" s="198">
        <f>SUM(AL23:AL24)</f>
        <v>0</v>
      </c>
      <c r="AM26" s="178"/>
      <c r="AN26" s="178"/>
      <c r="AO26" s="243"/>
      <c r="AP26" s="233" t="s">
        <v>26</v>
      </c>
      <c r="AQ26" s="189"/>
      <c r="AR26" s="190">
        <f>SUM(AR23:AR24)</f>
        <v>541</v>
      </c>
      <c r="AS26" s="189"/>
      <c r="AT26" s="189"/>
      <c r="AU26" s="190">
        <f>SUM(AU23:AU24)</f>
        <v>574</v>
      </c>
      <c r="AV26" s="198">
        <f t="shared" si="18"/>
        <v>33</v>
      </c>
      <c r="AW26" s="192">
        <f t="shared" si="19"/>
        <v>0.05749128919860627</v>
      </c>
      <c r="AX26" s="189"/>
      <c r="AY26" s="202">
        <f>SUM(AY23:AY24)</f>
        <v>1588</v>
      </c>
      <c r="AZ26" s="189"/>
      <c r="BA26" s="193"/>
      <c r="BB26" s="261">
        <f>SUM(BB23:BB24)</f>
        <v>1836</v>
      </c>
      <c r="BC26" s="199">
        <f t="shared" si="2"/>
        <v>248</v>
      </c>
      <c r="BD26" s="192">
        <f t="shared" si="20"/>
        <v>0.13507625272331156</v>
      </c>
      <c r="BE26" s="178"/>
      <c r="BF26" s="198">
        <f>SUM(BF23:BF24)</f>
        <v>0</v>
      </c>
      <c r="BG26" s="178"/>
      <c r="BH26" s="178"/>
      <c r="BI26" s="243"/>
      <c r="BJ26" s="233" t="s">
        <v>26</v>
      </c>
      <c r="BK26" s="189"/>
      <c r="BL26" s="190">
        <f>SUM(BL23:BL24)</f>
        <v>575</v>
      </c>
      <c r="BM26" s="189"/>
      <c r="BN26" s="189"/>
      <c r="BO26" s="190">
        <f>SUM(BO23:BO24)</f>
        <v>508</v>
      </c>
      <c r="BP26" s="198">
        <f t="shared" si="21"/>
        <v>-67</v>
      </c>
      <c r="BQ26" s="192">
        <f t="shared" si="22"/>
        <v>-0.13188976377952755</v>
      </c>
      <c r="BR26" s="189"/>
      <c r="BS26" s="202">
        <f>SUM(BS23:BS24)</f>
        <v>2163</v>
      </c>
      <c r="BT26" s="189"/>
      <c r="BU26" s="193"/>
      <c r="BV26" s="260">
        <f>SUM(BV23:BV24)</f>
        <v>2344</v>
      </c>
      <c r="BW26" s="199">
        <f t="shared" si="3"/>
        <v>181</v>
      </c>
      <c r="BX26" s="192">
        <f t="shared" si="23"/>
        <v>0.07721843003412969</v>
      </c>
      <c r="BY26" s="178"/>
      <c r="BZ26" s="198">
        <f>SUM(BZ23:BZ24)</f>
        <v>0</v>
      </c>
      <c r="CA26" s="178"/>
      <c r="CB26" s="178"/>
      <c r="CC26" s="243"/>
      <c r="CD26" s="233" t="s">
        <v>26</v>
      </c>
      <c r="CE26" s="189"/>
      <c r="CF26" s="190">
        <f>SUM(CF23:CF24)</f>
        <v>501</v>
      </c>
      <c r="CG26" s="189"/>
      <c r="CH26" s="189"/>
      <c r="CI26" s="190">
        <f>SUM(CI23:CI24)</f>
        <v>590</v>
      </c>
      <c r="CJ26" s="198">
        <f t="shared" si="24"/>
        <v>89</v>
      </c>
      <c r="CK26" s="192">
        <f t="shared" si="25"/>
        <v>0.15084745762711865</v>
      </c>
      <c r="CL26" s="189"/>
      <c r="CM26" s="202">
        <f>SUM(CM23:CM24)</f>
        <v>2664</v>
      </c>
      <c r="CN26" s="189"/>
      <c r="CO26" s="193"/>
      <c r="CP26" s="261">
        <f>SUM(CP23:CP24)</f>
        <v>2934</v>
      </c>
      <c r="CQ26" s="199">
        <f t="shared" si="4"/>
        <v>270</v>
      </c>
      <c r="CR26" s="192">
        <f t="shared" si="26"/>
        <v>0.09202453987730061</v>
      </c>
      <c r="CS26" s="178"/>
      <c r="CT26" s="198">
        <f>SUM(CT23:CT24)</f>
        <v>0</v>
      </c>
      <c r="CU26" s="178"/>
      <c r="CV26" s="178"/>
      <c r="CW26" s="243"/>
      <c r="CX26" s="233" t="s">
        <v>26</v>
      </c>
      <c r="CY26" s="189"/>
      <c r="CZ26" s="190">
        <f>SUM(CZ23:CZ24)</f>
        <v>545</v>
      </c>
      <c r="DA26" s="189"/>
      <c r="DB26" s="189"/>
      <c r="DC26" s="190">
        <f>SUM(DC23:DC24)</f>
        <v>492</v>
      </c>
      <c r="DD26" s="198">
        <f t="shared" si="27"/>
        <v>-53</v>
      </c>
      <c r="DE26" s="192">
        <f t="shared" si="28"/>
        <v>-0.10772357723577236</v>
      </c>
      <c r="DF26" s="189"/>
      <c r="DG26" s="202">
        <f>SUM(DG23:DG24)</f>
        <v>3209</v>
      </c>
      <c r="DH26" s="189"/>
      <c r="DI26" s="193"/>
      <c r="DJ26" s="260">
        <f>SUM(DJ23:DJ24)</f>
        <v>3426</v>
      </c>
      <c r="DK26" s="199">
        <f t="shared" si="5"/>
        <v>217</v>
      </c>
      <c r="DL26" s="192">
        <f t="shared" si="29"/>
        <v>0.06333917104495038</v>
      </c>
      <c r="DM26" s="178"/>
      <c r="DN26" s="198">
        <f>SUM(DN23:DN24)</f>
        <v>0</v>
      </c>
      <c r="DO26" s="178"/>
      <c r="DP26" s="178"/>
      <c r="DQ26" s="243"/>
      <c r="DR26" s="233" t="s">
        <v>26</v>
      </c>
      <c r="DS26" s="189"/>
      <c r="DT26" s="190">
        <f>SUM(DT23:DT24)</f>
        <v>718</v>
      </c>
      <c r="DU26" s="189"/>
      <c r="DV26" s="189"/>
      <c r="DW26" s="190">
        <f>SUM(DW23:DW24)</f>
        <v>525</v>
      </c>
      <c r="DX26" s="198">
        <f t="shared" si="30"/>
        <v>-193</v>
      </c>
      <c r="DY26" s="192">
        <f t="shared" si="31"/>
        <v>-0.3676190476190476</v>
      </c>
      <c r="DZ26" s="189"/>
      <c r="EA26" s="202">
        <f>SUM(EA23:EA24)</f>
        <v>3927</v>
      </c>
      <c r="EB26" s="189"/>
      <c r="EC26" s="193"/>
      <c r="ED26" s="260">
        <f>SUM(ED23:ED24)</f>
        <v>3951</v>
      </c>
      <c r="EE26" s="199">
        <f t="shared" si="6"/>
        <v>24</v>
      </c>
      <c r="EF26" s="192">
        <f t="shared" si="32"/>
        <v>0.006074411541381929</v>
      </c>
      <c r="EG26" s="178"/>
      <c r="EH26" s="198">
        <f>SUM(EH23:EH24)</f>
        <v>0</v>
      </c>
      <c r="EI26" s="178"/>
      <c r="EJ26" s="178"/>
      <c r="EK26" s="243"/>
      <c r="EL26" s="233" t="s">
        <v>26</v>
      </c>
      <c r="EM26" s="189"/>
      <c r="EN26" s="190">
        <f>SUM(EN23:EN24)</f>
        <v>526</v>
      </c>
      <c r="EO26" s="189"/>
      <c r="EP26" s="189"/>
      <c r="EQ26" s="190">
        <f>SUM(EQ23:EQ24)</f>
        <v>447</v>
      </c>
      <c r="ER26" s="198">
        <f t="shared" si="33"/>
        <v>-79</v>
      </c>
      <c r="ES26" s="192">
        <f t="shared" si="34"/>
        <v>-0.1767337807606264</v>
      </c>
      <c r="ET26" s="189"/>
      <c r="EU26" s="202">
        <f>SUM(EU23:EU24)</f>
        <v>4453</v>
      </c>
      <c r="EV26" s="189"/>
      <c r="EW26" s="193"/>
      <c r="EX26" s="260">
        <f>SUM(EX23:EX24)</f>
        <v>4398</v>
      </c>
      <c r="EY26" s="199">
        <f t="shared" si="7"/>
        <v>-55</v>
      </c>
      <c r="EZ26" s="192">
        <f t="shared" si="35"/>
        <v>-0.01250568440200091</v>
      </c>
      <c r="FA26" s="178"/>
      <c r="FB26" s="198">
        <f>SUM(FB23:FB24)</f>
        <v>0</v>
      </c>
      <c r="FC26" s="178"/>
      <c r="FD26" s="178"/>
      <c r="FE26" s="243"/>
      <c r="FF26" s="233" t="s">
        <v>26</v>
      </c>
      <c r="FG26" s="189"/>
      <c r="FH26" s="190">
        <f>SUM(FH23:FH24)</f>
        <v>547</v>
      </c>
      <c r="FI26" s="189"/>
      <c r="FJ26" s="189"/>
      <c r="FK26" s="190">
        <f>SUM(FK23:FK24)</f>
        <v>584</v>
      </c>
      <c r="FL26" s="198">
        <f t="shared" si="36"/>
        <v>37</v>
      </c>
      <c r="FM26" s="192">
        <f t="shared" si="37"/>
        <v>0.06335616438356165</v>
      </c>
      <c r="FN26" s="189"/>
      <c r="FO26" s="202">
        <f>SUM(FO23:FO24)</f>
        <v>5000</v>
      </c>
      <c r="FP26" s="189"/>
      <c r="FQ26" s="193"/>
      <c r="FR26" s="260">
        <f>SUM(FR23:FR24)</f>
        <v>4982</v>
      </c>
      <c r="FS26" s="199">
        <f t="shared" si="8"/>
        <v>-18</v>
      </c>
      <c r="FT26" s="192">
        <f t="shared" si="38"/>
        <v>-0.0036130068245684463</v>
      </c>
      <c r="FU26" s="178"/>
      <c r="FV26" s="198">
        <f>SUM(FV23:FV24)</f>
        <v>0</v>
      </c>
      <c r="FW26" s="178"/>
      <c r="FX26" s="178"/>
      <c r="FY26" s="243"/>
      <c r="FZ26" s="233" t="s">
        <v>26</v>
      </c>
      <c r="GA26" s="189"/>
      <c r="GB26" s="190">
        <f>SUM(GB23:GB24)</f>
        <v>514</v>
      </c>
      <c r="GC26" s="189"/>
      <c r="GD26" s="189"/>
      <c r="GE26" s="190">
        <f>SUM(GE23:GE24)</f>
        <v>438</v>
      </c>
      <c r="GF26" s="198">
        <f t="shared" si="39"/>
        <v>-76</v>
      </c>
      <c r="GG26" s="192">
        <f t="shared" si="40"/>
        <v>-0.1735159817351598</v>
      </c>
      <c r="GH26" s="189"/>
      <c r="GI26" s="202">
        <f>SUM(GI23:GI24)</f>
        <v>5514</v>
      </c>
      <c r="GJ26" s="189"/>
      <c r="GK26" s="193"/>
      <c r="GL26" s="260">
        <f>SUM(GL23:GL24)</f>
        <v>5420</v>
      </c>
      <c r="GM26" s="199">
        <f t="shared" si="9"/>
        <v>-94</v>
      </c>
      <c r="GN26" s="192">
        <f t="shared" si="41"/>
        <v>-0.01734317343173432</v>
      </c>
      <c r="GO26" s="178"/>
      <c r="GP26" s="198">
        <f>SUM(GP23:GP24)</f>
        <v>0</v>
      </c>
      <c r="GQ26" s="178"/>
      <c r="GR26" s="178"/>
      <c r="GS26" s="243"/>
      <c r="GT26" s="233" t="s">
        <v>26</v>
      </c>
      <c r="GU26" s="189"/>
      <c r="GV26" s="190">
        <f>SUM(GV23:GV24)</f>
        <v>459</v>
      </c>
      <c r="GW26" s="189"/>
      <c r="GX26" s="189"/>
      <c r="GY26" s="190">
        <f>SUM(GY23:GY24)</f>
        <v>527</v>
      </c>
      <c r="GZ26" s="198">
        <f t="shared" si="42"/>
        <v>68</v>
      </c>
      <c r="HA26" s="192">
        <f t="shared" si="43"/>
        <v>0.12903225806451613</v>
      </c>
      <c r="HB26" s="189"/>
      <c r="HC26" s="202">
        <f>SUM(HC23:HC24)</f>
        <v>5973</v>
      </c>
      <c r="HD26" s="189"/>
      <c r="HE26" s="193"/>
      <c r="HF26" s="260">
        <f>SUM(HF23:HF24)</f>
        <v>5947</v>
      </c>
      <c r="HG26" s="199">
        <f t="shared" si="10"/>
        <v>-26</v>
      </c>
      <c r="HH26" s="192">
        <f t="shared" si="44"/>
        <v>-0.004371952244829325</v>
      </c>
      <c r="HI26" s="178"/>
      <c r="HJ26" s="198">
        <f>SUM(HJ23:HJ24)</f>
        <v>0</v>
      </c>
      <c r="HK26" s="178"/>
      <c r="HL26" s="178"/>
      <c r="HM26" s="243"/>
      <c r="HN26" s="233" t="s">
        <v>26</v>
      </c>
      <c r="HO26" s="189"/>
      <c r="HP26" s="190">
        <f>SUM(HP23:HP24)</f>
        <v>565</v>
      </c>
      <c r="HQ26" s="189"/>
      <c r="HR26" s="189"/>
      <c r="HS26" s="190">
        <f>SUM(HS23:HS24)</f>
        <v>572</v>
      </c>
      <c r="HT26" s="198">
        <f t="shared" si="45"/>
        <v>7</v>
      </c>
      <c r="HU26" s="192">
        <f t="shared" si="46"/>
        <v>0.012237762237762238</v>
      </c>
      <c r="HV26" s="189"/>
      <c r="HW26" s="202">
        <f>SUM(HW23:HW24)</f>
        <v>6538</v>
      </c>
      <c r="HX26" s="189"/>
      <c r="HY26" s="193"/>
      <c r="HZ26" s="260">
        <f>SUM(HZ23:HZ24)</f>
        <v>6519</v>
      </c>
      <c r="IA26" s="199">
        <f t="shared" si="11"/>
        <v>-19</v>
      </c>
      <c r="IB26" s="192">
        <f t="shared" si="47"/>
        <v>-0.002914557447461267</v>
      </c>
      <c r="IC26" s="178"/>
      <c r="ID26" s="198">
        <f>SUM(ID23:ID24)</f>
        <v>0</v>
      </c>
      <c r="IE26" s="178"/>
      <c r="IF26" s="178"/>
    </row>
    <row r="27" spans="1:240" ht="13.5" thickBot="1">
      <c r="A27" s="368"/>
      <c r="B27" s="228"/>
      <c r="U27" s="228"/>
      <c r="V27" s="228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228"/>
      <c r="AP27" s="228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228"/>
      <c r="BJ27" s="228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228"/>
      <c r="CD27" s="228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228"/>
      <c r="CX27" s="228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228"/>
      <c r="DR27" s="228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228"/>
      <c r="EL27" s="228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228"/>
      <c r="FF27" s="228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228"/>
      <c r="FZ27" s="228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228"/>
      <c r="GT27" s="228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228"/>
      <c r="HN27" s="228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</row>
    <row r="28" spans="1:240" ht="13.5" thickBot="1">
      <c r="A28" s="245" t="s">
        <v>25</v>
      </c>
      <c r="B28" s="230"/>
      <c r="C28" s="262"/>
      <c r="E28" s="262"/>
      <c r="F28" s="262"/>
      <c r="J28" s="262"/>
      <c r="K28" s="262"/>
      <c r="L28" s="262"/>
      <c r="M28" s="262"/>
      <c r="U28" s="245" t="s">
        <v>25</v>
      </c>
      <c r="V28" s="247"/>
      <c r="W28" s="262"/>
      <c r="X28" s="171"/>
      <c r="Y28" s="262"/>
      <c r="Z28" s="262"/>
      <c r="AA28" s="171"/>
      <c r="AB28" s="171"/>
      <c r="AC28" s="171"/>
      <c r="AD28" s="262"/>
      <c r="AE28" s="171"/>
      <c r="AF28" s="262"/>
      <c r="AG28" s="262"/>
      <c r="AH28" s="171"/>
      <c r="AI28" s="171"/>
      <c r="AJ28" s="171"/>
      <c r="AK28" s="171"/>
      <c r="AL28" s="171"/>
      <c r="AM28" s="171"/>
      <c r="AN28" s="171"/>
      <c r="AO28" s="245" t="s">
        <v>25</v>
      </c>
      <c r="AP28" s="247"/>
      <c r="AQ28" s="262"/>
      <c r="AR28" s="171"/>
      <c r="AS28" s="262"/>
      <c r="AT28" s="262"/>
      <c r="AU28" s="171"/>
      <c r="AV28" s="171"/>
      <c r="AW28" s="171"/>
      <c r="AX28" s="262"/>
      <c r="AY28" s="171"/>
      <c r="AZ28" s="262"/>
      <c r="BA28" s="262"/>
      <c r="BB28" s="171"/>
      <c r="BC28" s="171"/>
      <c r="BD28" s="171"/>
      <c r="BE28" s="171"/>
      <c r="BF28" s="171"/>
      <c r="BG28" s="171"/>
      <c r="BH28" s="171"/>
      <c r="BI28" s="245" t="s">
        <v>25</v>
      </c>
      <c r="BJ28" s="247"/>
      <c r="BK28" s="262"/>
      <c r="BL28" s="171"/>
      <c r="BM28" s="262"/>
      <c r="BN28" s="262"/>
      <c r="BO28" s="171"/>
      <c r="BP28" s="171"/>
      <c r="BQ28" s="171"/>
      <c r="BR28" s="262"/>
      <c r="BS28" s="171"/>
      <c r="BT28" s="262"/>
      <c r="BU28" s="262"/>
      <c r="BV28" s="171"/>
      <c r="BW28" s="171"/>
      <c r="BX28" s="171"/>
      <c r="BY28" s="171"/>
      <c r="BZ28" s="171"/>
      <c r="CA28" s="171"/>
      <c r="CB28" s="171"/>
      <c r="CC28" s="245" t="s">
        <v>25</v>
      </c>
      <c r="CD28" s="247"/>
      <c r="CE28" s="262"/>
      <c r="CF28" s="171"/>
      <c r="CG28" s="262"/>
      <c r="CH28" s="262"/>
      <c r="CI28" s="171"/>
      <c r="CJ28" s="171"/>
      <c r="CK28" s="171"/>
      <c r="CL28" s="262"/>
      <c r="CM28" s="171"/>
      <c r="CN28" s="262"/>
      <c r="CO28" s="262"/>
      <c r="CP28" s="171"/>
      <c r="CQ28" s="171"/>
      <c r="CR28" s="171"/>
      <c r="CS28" s="171"/>
      <c r="CT28" s="171"/>
      <c r="CU28" s="171"/>
      <c r="CV28" s="171"/>
      <c r="CW28" s="245" t="s">
        <v>25</v>
      </c>
      <c r="CX28" s="247"/>
      <c r="CY28" s="262"/>
      <c r="CZ28" s="171"/>
      <c r="DA28" s="262"/>
      <c r="DB28" s="262"/>
      <c r="DC28" s="171"/>
      <c r="DD28" s="171"/>
      <c r="DE28" s="171"/>
      <c r="DF28" s="262"/>
      <c r="DG28" s="171"/>
      <c r="DH28" s="262"/>
      <c r="DI28" s="262"/>
      <c r="DJ28" s="171"/>
      <c r="DK28" s="171"/>
      <c r="DL28" s="171"/>
      <c r="DM28" s="171"/>
      <c r="DN28" s="171"/>
      <c r="DO28" s="171"/>
      <c r="DP28" s="171"/>
      <c r="DQ28" s="245" t="s">
        <v>25</v>
      </c>
      <c r="DR28" s="247"/>
      <c r="DS28" s="262"/>
      <c r="DT28" s="171"/>
      <c r="DU28" s="262"/>
      <c r="DV28" s="262"/>
      <c r="DW28" s="171"/>
      <c r="DX28" s="171"/>
      <c r="DY28" s="171"/>
      <c r="DZ28" s="262"/>
      <c r="EA28" s="171"/>
      <c r="EB28" s="262"/>
      <c r="EC28" s="262"/>
      <c r="ED28" s="171"/>
      <c r="EE28" s="171"/>
      <c r="EF28" s="171"/>
      <c r="EG28" s="171"/>
      <c r="EH28" s="171"/>
      <c r="EI28" s="171"/>
      <c r="EJ28" s="171"/>
      <c r="EK28" s="245" t="s">
        <v>25</v>
      </c>
      <c r="EL28" s="247"/>
      <c r="EM28" s="262"/>
      <c r="EN28" s="171"/>
      <c r="EO28" s="262"/>
      <c r="EP28" s="262"/>
      <c r="EQ28" s="171"/>
      <c r="ER28" s="171"/>
      <c r="ES28" s="171"/>
      <c r="ET28" s="262"/>
      <c r="EU28" s="171"/>
      <c r="EV28" s="262"/>
      <c r="EW28" s="262"/>
      <c r="EX28" s="171"/>
      <c r="EY28" s="171"/>
      <c r="EZ28" s="171"/>
      <c r="FA28" s="171"/>
      <c r="FB28" s="171"/>
      <c r="FC28" s="171"/>
      <c r="FD28" s="171"/>
      <c r="FE28" s="245" t="s">
        <v>25</v>
      </c>
      <c r="FF28" s="247"/>
      <c r="FG28" s="262"/>
      <c r="FH28" s="171"/>
      <c r="FI28" s="262"/>
      <c r="FJ28" s="262"/>
      <c r="FK28" s="171"/>
      <c r="FL28" s="171"/>
      <c r="FM28" s="171"/>
      <c r="FN28" s="262"/>
      <c r="FO28" s="171"/>
      <c r="FP28" s="262"/>
      <c r="FQ28" s="262"/>
      <c r="FR28" s="171"/>
      <c r="FS28" s="171"/>
      <c r="FT28" s="171"/>
      <c r="FU28" s="171"/>
      <c r="FV28" s="171"/>
      <c r="FW28" s="171"/>
      <c r="FX28" s="171"/>
      <c r="FY28" s="245" t="s">
        <v>25</v>
      </c>
      <c r="FZ28" s="247"/>
      <c r="GA28" s="262"/>
      <c r="GB28" s="171"/>
      <c r="GC28" s="262"/>
      <c r="GD28" s="262"/>
      <c r="GE28" s="171"/>
      <c r="GF28" s="171"/>
      <c r="GG28" s="171"/>
      <c r="GH28" s="262"/>
      <c r="GI28" s="171"/>
      <c r="GJ28" s="262"/>
      <c r="GK28" s="262"/>
      <c r="GL28" s="171"/>
      <c r="GM28" s="171"/>
      <c r="GN28" s="171"/>
      <c r="GO28" s="171"/>
      <c r="GP28" s="171"/>
      <c r="GQ28" s="171"/>
      <c r="GR28" s="171"/>
      <c r="GS28" s="245" t="s">
        <v>25</v>
      </c>
      <c r="GT28" s="247"/>
      <c r="GU28" s="262"/>
      <c r="GV28" s="262"/>
      <c r="GW28" s="262"/>
      <c r="GX28" s="262"/>
      <c r="GY28" s="262"/>
      <c r="GZ28" s="262"/>
      <c r="HA28" s="262"/>
      <c r="HB28" s="262"/>
      <c r="HC28" s="268"/>
      <c r="HD28" s="262"/>
      <c r="HE28" s="262"/>
      <c r="HF28" s="171"/>
      <c r="HG28" s="171"/>
      <c r="HH28" s="171"/>
      <c r="HI28" s="171"/>
      <c r="HJ28" s="171"/>
      <c r="HK28" s="171"/>
      <c r="HL28" s="171"/>
      <c r="HM28" s="245" t="s">
        <v>25</v>
      </c>
      <c r="HN28" s="247"/>
      <c r="HO28" s="262"/>
      <c r="HP28" s="262"/>
      <c r="HQ28" s="262"/>
      <c r="HR28" s="262"/>
      <c r="HS28" s="262"/>
      <c r="HT28" s="262"/>
      <c r="HU28" s="262"/>
      <c r="HV28" s="262"/>
      <c r="HW28" s="268"/>
      <c r="HX28" s="262"/>
      <c r="HY28" s="262"/>
      <c r="HZ28" s="171"/>
      <c r="IA28" s="171"/>
      <c r="IB28" s="171"/>
      <c r="IC28" s="171"/>
      <c r="ID28" s="171"/>
      <c r="IE28" s="171"/>
      <c r="IF28" s="171"/>
    </row>
    <row r="29" spans="1:240" ht="13.5" thickBot="1">
      <c r="A29" s="246"/>
      <c r="B29" s="365" t="s">
        <v>39</v>
      </c>
      <c r="C29" s="180"/>
      <c r="D29" s="200">
        <v>184087.48</v>
      </c>
      <c r="E29" s="180"/>
      <c r="F29" s="180"/>
      <c r="G29" s="179">
        <v>219309</v>
      </c>
      <c r="H29" s="200">
        <f>G29-D29</f>
        <v>35221.51999999999</v>
      </c>
      <c r="I29" s="175">
        <f>H29/G29</f>
        <v>0.16060225526540173</v>
      </c>
      <c r="J29" s="180"/>
      <c r="K29" s="181">
        <f>SUM(D29)</f>
        <v>184087.48</v>
      </c>
      <c r="L29" s="180"/>
      <c r="M29" s="252"/>
      <c r="N29" s="256">
        <f>SUM(G29)</f>
        <v>219309</v>
      </c>
      <c r="O29" s="258">
        <f>N29-K29</f>
        <v>35221.51999999999</v>
      </c>
      <c r="P29" s="175">
        <f>O29/N29</f>
        <v>0.16060225526540173</v>
      </c>
      <c r="Q29" s="201"/>
      <c r="R29" s="179">
        <f>K29/$B$50*365</f>
        <v>184087.48</v>
      </c>
      <c r="S29" s="200">
        <f>Q29-R29</f>
        <v>-184087.48</v>
      </c>
      <c r="T29" s="177" t="e">
        <f>S29/Q29</f>
        <v>#DIV/0!</v>
      </c>
      <c r="U29" s="246"/>
      <c r="V29" s="370" t="s">
        <v>39</v>
      </c>
      <c r="W29" s="180"/>
      <c r="X29" s="200">
        <v>133325.15</v>
      </c>
      <c r="Y29" s="180"/>
      <c r="Z29" s="180"/>
      <c r="AA29" s="200">
        <v>138423.4</v>
      </c>
      <c r="AB29" s="200">
        <f>AA29-X29</f>
        <v>5098.25</v>
      </c>
      <c r="AC29" s="175">
        <f>AB29/AA29</f>
        <v>0.03683083929451234</v>
      </c>
      <c r="AD29" s="264"/>
      <c r="AE29" s="173">
        <f>SUM(K29+X29)</f>
        <v>317412.63</v>
      </c>
      <c r="AF29" s="266"/>
      <c r="AG29" s="180"/>
      <c r="AH29" s="256">
        <f>SUM(N29+AA29)</f>
        <v>357732.4</v>
      </c>
      <c r="AI29" s="258">
        <f>AH29-AE29</f>
        <v>40319.77000000002</v>
      </c>
      <c r="AJ29" s="175">
        <f>AI29/AH29</f>
        <v>0.11270930449688095</v>
      </c>
      <c r="AK29" s="201"/>
      <c r="AL29" s="200"/>
      <c r="AM29" s="200">
        <f>AK29-AL29</f>
        <v>0</v>
      </c>
      <c r="AN29" s="177" t="e">
        <f>AM29/AK29</f>
        <v>#DIV/0!</v>
      </c>
      <c r="AO29" s="246" t="s">
        <v>46</v>
      </c>
      <c r="AP29" s="245" t="s">
        <v>39</v>
      </c>
      <c r="AQ29" s="180"/>
      <c r="AR29" s="200">
        <v>161400.72</v>
      </c>
      <c r="AS29" s="180"/>
      <c r="AT29" s="180"/>
      <c r="AU29" s="173">
        <v>174015</v>
      </c>
      <c r="AV29" s="200">
        <f>AU29-AR29</f>
        <v>12614.279999999999</v>
      </c>
      <c r="AW29" s="175">
        <f>AV29/AU29</f>
        <v>0.07248961296439961</v>
      </c>
      <c r="AX29" s="264"/>
      <c r="AY29" s="173">
        <f>SUM(AE29+AR29)</f>
        <v>478813.35</v>
      </c>
      <c r="AZ29" s="266"/>
      <c r="BA29" s="180"/>
      <c r="BB29" s="256">
        <f>SUM(AH29+AU29)</f>
        <v>531747.4</v>
      </c>
      <c r="BC29" s="258">
        <f>BB29-AY29</f>
        <v>52934.05000000005</v>
      </c>
      <c r="BD29" s="175">
        <f>BC29/BB29</f>
        <v>0.09954736026918053</v>
      </c>
      <c r="BE29" s="201"/>
      <c r="BF29" s="200"/>
      <c r="BG29" s="200">
        <f>BE29-BF29</f>
        <v>0</v>
      </c>
      <c r="BH29" s="177" t="e">
        <f>BG29/BE29</f>
        <v>#DIV/0!</v>
      </c>
      <c r="BI29" s="246" t="s">
        <v>46</v>
      </c>
      <c r="BJ29" s="245" t="s">
        <v>39</v>
      </c>
      <c r="BK29" s="180"/>
      <c r="BL29" s="200">
        <v>195488.83</v>
      </c>
      <c r="BM29" s="180"/>
      <c r="BN29" s="180"/>
      <c r="BO29" s="173">
        <v>128674</v>
      </c>
      <c r="BP29" s="200">
        <f>BO29-BL29</f>
        <v>-66814.82999999999</v>
      </c>
      <c r="BQ29" s="175">
        <f>BP29/BO29</f>
        <v>-0.5192566485847956</v>
      </c>
      <c r="BR29" s="264"/>
      <c r="BS29" s="173">
        <f>SUM(AY29+BL29)</f>
        <v>674302.1799999999</v>
      </c>
      <c r="BT29" s="266"/>
      <c r="BU29" s="180"/>
      <c r="BV29" s="256">
        <f>SUM(BB29+BO29)</f>
        <v>660421.4</v>
      </c>
      <c r="BW29" s="258">
        <f>BV29-BS29</f>
        <v>-13880.779999999912</v>
      </c>
      <c r="BX29" s="175">
        <f>BW29/BV29</f>
        <v>-0.02101806513235324</v>
      </c>
      <c r="BY29" s="201"/>
      <c r="BZ29" s="200"/>
      <c r="CA29" s="200">
        <f>BY29-BZ29</f>
        <v>0</v>
      </c>
      <c r="CB29" s="177" t="e">
        <f>CA29/BY29</f>
        <v>#DIV/0!</v>
      </c>
      <c r="CC29" s="246" t="s">
        <v>46</v>
      </c>
      <c r="CD29" s="245" t="s">
        <v>39</v>
      </c>
      <c r="CE29" s="180"/>
      <c r="CF29" s="200">
        <v>178715.62</v>
      </c>
      <c r="CG29" s="180"/>
      <c r="CH29" s="180"/>
      <c r="CI29" s="173">
        <v>140372</v>
      </c>
      <c r="CJ29" s="200">
        <f>CI29-CF29</f>
        <v>-38343.619999999995</v>
      </c>
      <c r="CK29" s="175">
        <f>CJ29/CI29</f>
        <v>-0.27315718234405717</v>
      </c>
      <c r="CL29" s="264"/>
      <c r="CM29" s="173">
        <f>SUM(BS29+CF29)</f>
        <v>853017.7999999999</v>
      </c>
      <c r="CN29" s="266"/>
      <c r="CO29" s="180"/>
      <c r="CP29" s="256">
        <f>SUM(BV29+CI29)</f>
        <v>800793.4</v>
      </c>
      <c r="CQ29" s="258">
        <f>CP29-CM29</f>
        <v>-52224.39999999991</v>
      </c>
      <c r="CR29" s="175">
        <f>CQ29/CP29</f>
        <v>-0.06521582220832478</v>
      </c>
      <c r="CS29" s="201"/>
      <c r="CT29" s="200"/>
      <c r="CU29" s="200">
        <f>CS29-CT29</f>
        <v>0</v>
      </c>
      <c r="CV29" s="177" t="e">
        <f>CU29/CS29</f>
        <v>#DIV/0!</v>
      </c>
      <c r="CW29" s="246" t="s">
        <v>46</v>
      </c>
      <c r="CX29" s="245" t="s">
        <v>39</v>
      </c>
      <c r="CY29" s="180"/>
      <c r="CZ29" s="200">
        <v>178289.4</v>
      </c>
      <c r="DA29" s="180"/>
      <c r="DB29" s="180"/>
      <c r="DC29" s="173">
        <v>121840</v>
      </c>
      <c r="DD29" s="200">
        <f>DC29-CZ29</f>
        <v>-56449.399999999994</v>
      </c>
      <c r="DE29" s="175">
        <f>DD29/DC29</f>
        <v>-0.46330761654629016</v>
      </c>
      <c r="DF29" s="264"/>
      <c r="DG29" s="173">
        <f>SUM(CM29+CZ29)</f>
        <v>1031307.2</v>
      </c>
      <c r="DH29" s="266"/>
      <c r="DI29" s="180"/>
      <c r="DJ29" s="256">
        <f>SUM(CP29+DC29)</f>
        <v>922633.4</v>
      </c>
      <c r="DK29" s="258">
        <f>DJ29-DG29</f>
        <v>-108673.79999999993</v>
      </c>
      <c r="DL29" s="175">
        <f>DK29/DJ29</f>
        <v>-0.11778654447150941</v>
      </c>
      <c r="DM29" s="201"/>
      <c r="DN29" s="200"/>
      <c r="DO29" s="200">
        <f>DM29-DN29</f>
        <v>0</v>
      </c>
      <c r="DP29" s="177" t="e">
        <f>DO29/DM29</f>
        <v>#DIV/0!</v>
      </c>
      <c r="DQ29" s="246" t="s">
        <v>46</v>
      </c>
      <c r="DR29" s="245" t="s">
        <v>39</v>
      </c>
      <c r="DS29" s="180"/>
      <c r="DT29" s="200">
        <v>201685.32</v>
      </c>
      <c r="DU29" s="180"/>
      <c r="DV29" s="180"/>
      <c r="DW29" s="200">
        <v>121569.34</v>
      </c>
      <c r="DX29" s="200">
        <f>DW29-DT29</f>
        <v>-80115.98000000001</v>
      </c>
      <c r="DY29" s="175">
        <f>DX29/DW29</f>
        <v>-0.6590146824849096</v>
      </c>
      <c r="DZ29" s="264"/>
      <c r="EA29" s="173">
        <f>SUM(DG29+DT29)</f>
        <v>1232992.52</v>
      </c>
      <c r="EB29" s="266"/>
      <c r="EC29" s="180"/>
      <c r="ED29" s="256">
        <f>SUM(DJ29+DW29)</f>
        <v>1044202.74</v>
      </c>
      <c r="EE29" s="258">
        <f>ED29-EA29</f>
        <v>-188789.78000000003</v>
      </c>
      <c r="EF29" s="175">
        <f>EE29/ED29</f>
        <v>-0.180798012462599</v>
      </c>
      <c r="EG29" s="201"/>
      <c r="EH29" s="200"/>
      <c r="EI29" s="200">
        <f>EG29-EH29</f>
        <v>0</v>
      </c>
      <c r="EJ29" s="177" t="e">
        <f>EI29/EG29</f>
        <v>#DIV/0!</v>
      </c>
      <c r="EK29" s="246" t="s">
        <v>46</v>
      </c>
      <c r="EL29" s="245" t="s">
        <v>39</v>
      </c>
      <c r="EM29" s="180"/>
      <c r="EN29" s="200">
        <v>161102.15</v>
      </c>
      <c r="EO29" s="180"/>
      <c r="EP29" s="180"/>
      <c r="EQ29" s="200">
        <v>121919.5</v>
      </c>
      <c r="ER29" s="200">
        <f>EQ29-EN29</f>
        <v>-39182.649999999994</v>
      </c>
      <c r="ES29" s="175">
        <f>ER29/EQ29</f>
        <v>-0.3213813212816653</v>
      </c>
      <c r="ET29" s="264"/>
      <c r="EU29" s="173">
        <f>SUM(EA29+EN29)</f>
        <v>1394094.67</v>
      </c>
      <c r="EV29" s="266"/>
      <c r="EW29" s="180"/>
      <c r="EX29" s="256">
        <f>SUM(ED29+EQ29)</f>
        <v>1166122.24</v>
      </c>
      <c r="EY29" s="258">
        <f>EX29-EU29</f>
        <v>-227972.42999999993</v>
      </c>
      <c r="EZ29" s="175">
        <f>EY29/EX29</f>
        <v>-0.19549616856634167</v>
      </c>
      <c r="FA29" s="201"/>
      <c r="FB29" s="200"/>
      <c r="FC29" s="200">
        <f>FA29-FB29</f>
        <v>0</v>
      </c>
      <c r="FD29" s="177" t="e">
        <f>FC29/FA29</f>
        <v>#DIV/0!</v>
      </c>
      <c r="FE29" s="246" t="s">
        <v>46</v>
      </c>
      <c r="FF29" s="245" t="s">
        <v>39</v>
      </c>
      <c r="FG29" s="180"/>
      <c r="FH29" s="200">
        <v>159758.11</v>
      </c>
      <c r="FI29" s="180"/>
      <c r="FJ29" s="180"/>
      <c r="FK29" s="173">
        <v>128061</v>
      </c>
      <c r="FL29" s="200">
        <f>FK29-FH29</f>
        <v>-31697.109999999986</v>
      </c>
      <c r="FM29" s="175">
        <f>FL29/FK29</f>
        <v>-0.2475157151669906</v>
      </c>
      <c r="FN29" s="264"/>
      <c r="FO29" s="173">
        <f>SUM(EU29+FH29)</f>
        <v>1553852.7799999998</v>
      </c>
      <c r="FP29" s="266"/>
      <c r="FQ29" s="180"/>
      <c r="FR29" s="256">
        <f>SUM(EX29+FK29)</f>
        <v>1294183.24</v>
      </c>
      <c r="FS29" s="258">
        <f>FR29-FO29</f>
        <v>-259669.5399999998</v>
      </c>
      <c r="FT29" s="175">
        <f>FS29/FR29</f>
        <v>-0.20064356574421394</v>
      </c>
      <c r="FU29" s="201"/>
      <c r="FV29" s="200"/>
      <c r="FW29" s="200">
        <f>FU29-FV29</f>
        <v>0</v>
      </c>
      <c r="FX29" s="177" t="e">
        <f>FW29/FU29</f>
        <v>#DIV/0!</v>
      </c>
      <c r="FY29" s="246" t="s">
        <v>46</v>
      </c>
      <c r="FZ29" s="245" t="s">
        <v>39</v>
      </c>
      <c r="GA29" s="180"/>
      <c r="GB29" s="200">
        <v>183324.67</v>
      </c>
      <c r="GC29" s="180"/>
      <c r="GD29" s="180"/>
      <c r="GE29" s="173">
        <v>118924</v>
      </c>
      <c r="GF29" s="200">
        <f>GE29-GB29</f>
        <v>-64400.67000000001</v>
      </c>
      <c r="GG29" s="175">
        <f>GF29/GE29</f>
        <v>-0.541527950623928</v>
      </c>
      <c r="GH29" s="264"/>
      <c r="GI29" s="173">
        <f>SUM(FO29+GB29)</f>
        <v>1737177.4499999997</v>
      </c>
      <c r="GJ29" s="266"/>
      <c r="GK29" s="180"/>
      <c r="GL29" s="256">
        <f>SUM(FR29+GE29)</f>
        <v>1413107.24</v>
      </c>
      <c r="GM29" s="258">
        <f>GL29-GI29</f>
        <v>-324070.20999999973</v>
      </c>
      <c r="GN29" s="175">
        <f>GM29/GL29</f>
        <v>-0.22933164647857845</v>
      </c>
      <c r="GO29" s="201"/>
      <c r="GP29" s="200"/>
      <c r="GQ29" s="200">
        <f>GO29-GP29</f>
        <v>0</v>
      </c>
      <c r="GR29" s="177" t="e">
        <f>GQ29/GO29</f>
        <v>#DIV/0!</v>
      </c>
      <c r="GS29" s="246" t="s">
        <v>46</v>
      </c>
      <c r="GT29" s="245" t="s">
        <v>39</v>
      </c>
      <c r="GU29" s="180"/>
      <c r="GV29" s="197">
        <v>176366.21</v>
      </c>
      <c r="GW29" s="180"/>
      <c r="GX29" s="180"/>
      <c r="GY29" s="181">
        <v>145117</v>
      </c>
      <c r="GZ29" s="197">
        <f>GY29-GV29</f>
        <v>-31249.209999999992</v>
      </c>
      <c r="HA29" s="183">
        <f>GZ29/GY29</f>
        <v>-0.2153380375834671</v>
      </c>
      <c r="HB29" s="264"/>
      <c r="HC29" s="173">
        <f>SUM(GI29+GV29)</f>
        <v>1913543.6599999997</v>
      </c>
      <c r="HD29" s="266"/>
      <c r="HE29" s="180"/>
      <c r="HF29" s="256">
        <f>SUM(GL29+GY29)</f>
        <v>1558224.24</v>
      </c>
      <c r="HG29" s="258">
        <f>HF29-HC29</f>
        <v>-355319.4199999997</v>
      </c>
      <c r="HH29" s="175">
        <f>HG29/HF29</f>
        <v>-0.22802842548515334</v>
      </c>
      <c r="HI29" s="201"/>
      <c r="HJ29" s="200"/>
      <c r="HK29" s="200">
        <f>HI29-HJ29</f>
        <v>0</v>
      </c>
      <c r="HL29" s="177" t="e">
        <f>HK29/HI29</f>
        <v>#DIV/0!</v>
      </c>
      <c r="HM29" s="246" t="s">
        <v>46</v>
      </c>
      <c r="HN29" s="245" t="s">
        <v>39</v>
      </c>
      <c r="HO29" s="180"/>
      <c r="HP29" s="197">
        <v>167631.01</v>
      </c>
      <c r="HQ29" s="180"/>
      <c r="HR29" s="180"/>
      <c r="HS29" s="181">
        <v>151172</v>
      </c>
      <c r="HT29" s="197">
        <f>HS29-HP29</f>
        <v>-16459.01000000001</v>
      </c>
      <c r="HU29" s="183">
        <f>HT29/HS29</f>
        <v>-0.1088760484745853</v>
      </c>
      <c r="HV29" s="264"/>
      <c r="HW29" s="173">
        <f>SUM(HC29+HP29)</f>
        <v>2081174.6699999997</v>
      </c>
      <c r="HX29" s="266"/>
      <c r="HY29" s="180"/>
      <c r="HZ29" s="256">
        <f>SUM(HF29+HS29)</f>
        <v>1709396.24</v>
      </c>
      <c r="IA29" s="258">
        <f>HZ29-HW29</f>
        <v>-371778.4299999997</v>
      </c>
      <c r="IB29" s="175">
        <f>IA29/HZ29</f>
        <v>-0.21749107743445117</v>
      </c>
      <c r="IC29" s="201"/>
      <c r="ID29" s="200"/>
      <c r="IE29" s="200">
        <f>IC29-ID29</f>
        <v>0</v>
      </c>
      <c r="IF29" s="177" t="e">
        <f>IE29/IC29</f>
        <v>#DIV/0!</v>
      </c>
    </row>
    <row r="30" spans="1:240" ht="13.5" thickBot="1">
      <c r="A30" s="242"/>
      <c r="B30" s="244" t="s">
        <v>40</v>
      </c>
      <c r="C30" s="180"/>
      <c r="D30" s="197">
        <v>4032.45</v>
      </c>
      <c r="E30" s="180"/>
      <c r="F30" s="180"/>
      <c r="G30" s="196">
        <v>4478</v>
      </c>
      <c r="H30" s="197">
        <f>G30-D30</f>
        <v>445.5500000000002</v>
      </c>
      <c r="I30" s="183">
        <f>H30/G30</f>
        <v>0.09949754354622603</v>
      </c>
      <c r="J30" s="180"/>
      <c r="K30" s="181">
        <f>SUM(D30)</f>
        <v>4032.45</v>
      </c>
      <c r="L30" s="180"/>
      <c r="M30" s="252"/>
      <c r="N30" s="195">
        <f>SUM(G30)</f>
        <v>4478</v>
      </c>
      <c r="O30" s="259">
        <f>N30-K30</f>
        <v>445.5500000000002</v>
      </c>
      <c r="P30" s="183">
        <f aca="true" t="shared" si="48" ref="P30:P47">O30/N30</f>
        <v>0.09949754354622603</v>
      </c>
      <c r="Q30" s="359"/>
      <c r="R30" s="196">
        <f>K30/$B$50*365</f>
        <v>4032.45</v>
      </c>
      <c r="S30" s="197">
        <f>Q30-R30</f>
        <v>-4032.45</v>
      </c>
      <c r="T30" s="186" t="e">
        <f>S30/Q30</f>
        <v>#DIV/0!</v>
      </c>
      <c r="U30" s="242"/>
      <c r="V30" s="244" t="s">
        <v>40</v>
      </c>
      <c r="W30" s="180"/>
      <c r="X30" s="197">
        <v>3915.87</v>
      </c>
      <c r="Y30" s="180"/>
      <c r="Z30" s="180"/>
      <c r="AA30" s="197">
        <v>2899.75</v>
      </c>
      <c r="AB30" s="197">
        <f>AA30-X30</f>
        <v>-1016.1199999999999</v>
      </c>
      <c r="AC30" s="183">
        <f>AB30/AA30</f>
        <v>-0.35041641520820754</v>
      </c>
      <c r="AD30" s="264"/>
      <c r="AE30" s="181">
        <f>SUM(K30+X30)</f>
        <v>7948.32</v>
      </c>
      <c r="AF30" s="266"/>
      <c r="AG30" s="180"/>
      <c r="AH30" s="195">
        <f>SUM(N30+AA30)</f>
        <v>7377.75</v>
      </c>
      <c r="AI30" s="259">
        <f>AH30-AE30</f>
        <v>-570.5699999999997</v>
      </c>
      <c r="AJ30" s="183">
        <f>AI30/AH30</f>
        <v>-0.07733658635762931</v>
      </c>
      <c r="AK30" s="359"/>
      <c r="AL30" s="197"/>
      <c r="AM30" s="197">
        <f>AK30-AL30</f>
        <v>0</v>
      </c>
      <c r="AN30" s="186" t="e">
        <f>AM30/AK30</f>
        <v>#DIV/0!</v>
      </c>
      <c r="AO30" s="242" t="s">
        <v>47</v>
      </c>
      <c r="AP30" s="244" t="s">
        <v>40</v>
      </c>
      <c r="AQ30" s="180"/>
      <c r="AR30" s="197">
        <v>3946.92</v>
      </c>
      <c r="AS30" s="180"/>
      <c r="AT30" s="180"/>
      <c r="AU30" s="181">
        <v>5557</v>
      </c>
      <c r="AV30" s="197">
        <f>AU30-AR30</f>
        <v>1610.08</v>
      </c>
      <c r="AW30" s="183">
        <f>AV30/AU30</f>
        <v>0.289739067842361</v>
      </c>
      <c r="AX30" s="264"/>
      <c r="AY30" s="181">
        <f>SUM(AE30+AR30)</f>
        <v>11895.24</v>
      </c>
      <c r="AZ30" s="266"/>
      <c r="BA30" s="180"/>
      <c r="BB30" s="195">
        <f>SUM(AH30+AU30)</f>
        <v>12934.75</v>
      </c>
      <c r="BC30" s="259">
        <f>BB30-AY30</f>
        <v>1039.5100000000002</v>
      </c>
      <c r="BD30" s="183">
        <f>BC30/BB30</f>
        <v>0.0803656815941553</v>
      </c>
      <c r="BE30" s="359"/>
      <c r="BF30" s="197"/>
      <c r="BG30" s="197">
        <f>BE30-BF30</f>
        <v>0</v>
      </c>
      <c r="BH30" s="186" t="e">
        <f>BG30/BE30</f>
        <v>#DIV/0!</v>
      </c>
      <c r="BI30" s="242" t="s">
        <v>47</v>
      </c>
      <c r="BJ30" s="244" t="s">
        <v>40</v>
      </c>
      <c r="BK30" s="180"/>
      <c r="BL30" s="203">
        <v>3407.99</v>
      </c>
      <c r="BM30" s="180"/>
      <c r="BN30" s="180"/>
      <c r="BO30" s="202">
        <v>3449</v>
      </c>
      <c r="BP30" s="203">
        <f>BO30-BL30</f>
        <v>41.01000000000022</v>
      </c>
      <c r="BQ30" s="183">
        <f>BP30/BO30</f>
        <v>0.011890403015366837</v>
      </c>
      <c r="BR30" s="264"/>
      <c r="BS30" s="202">
        <f>SUM(AY30+BL30)</f>
        <v>15303.23</v>
      </c>
      <c r="BT30" s="266"/>
      <c r="BU30" s="180"/>
      <c r="BV30" s="255">
        <f>SUM(BB30+BO30)</f>
        <v>16383.75</v>
      </c>
      <c r="BW30" s="259">
        <f>BV30-BS30</f>
        <v>1080.5200000000004</v>
      </c>
      <c r="BX30" s="183">
        <f>BW30/BV30</f>
        <v>0.0659507133592737</v>
      </c>
      <c r="BY30" s="206"/>
      <c r="BZ30" s="203"/>
      <c r="CA30" s="203">
        <f>BY30-BZ30</f>
        <v>0</v>
      </c>
      <c r="CB30" s="207" t="e">
        <f>CA30/BY30</f>
        <v>#DIV/0!</v>
      </c>
      <c r="CC30" s="242" t="s">
        <v>47</v>
      </c>
      <c r="CD30" s="244" t="s">
        <v>40</v>
      </c>
      <c r="CE30" s="180"/>
      <c r="CF30" s="203">
        <v>3692.96</v>
      </c>
      <c r="CG30" s="180"/>
      <c r="CH30" s="180"/>
      <c r="CI30" s="202">
        <v>3788</v>
      </c>
      <c r="CJ30" s="203">
        <f>CI30-CF30</f>
        <v>95.03999999999996</v>
      </c>
      <c r="CK30" s="183">
        <f>CJ30/CI30</f>
        <v>0.0250897571277719</v>
      </c>
      <c r="CL30" s="264"/>
      <c r="CM30" s="202">
        <f>SUM(BS30+CF30)</f>
        <v>18996.19</v>
      </c>
      <c r="CN30" s="266"/>
      <c r="CO30" s="180"/>
      <c r="CP30" s="255">
        <f>SUM(BV30+CI30)</f>
        <v>20171.75</v>
      </c>
      <c r="CQ30" s="259">
        <f>CP30-CM30</f>
        <v>1175.5600000000013</v>
      </c>
      <c r="CR30" s="183">
        <f>CQ30/CP30</f>
        <v>0.05827754161141206</v>
      </c>
      <c r="CS30" s="206"/>
      <c r="CT30" s="203"/>
      <c r="CU30" s="203">
        <f>CS30-CT30</f>
        <v>0</v>
      </c>
      <c r="CV30" s="207" t="e">
        <f>CU30/CS30</f>
        <v>#DIV/0!</v>
      </c>
      <c r="CW30" s="242" t="s">
        <v>47</v>
      </c>
      <c r="CX30" s="244" t="s">
        <v>40</v>
      </c>
      <c r="CY30" s="180"/>
      <c r="CZ30" s="203">
        <v>3678.01</v>
      </c>
      <c r="DA30" s="180"/>
      <c r="DB30" s="180"/>
      <c r="DC30" s="202">
        <v>3063</v>
      </c>
      <c r="DD30" s="203">
        <f>DC30-CZ30</f>
        <v>-615.0100000000002</v>
      </c>
      <c r="DE30" s="183">
        <f>DD30/DC30</f>
        <v>-0.20078681031668305</v>
      </c>
      <c r="DF30" s="264"/>
      <c r="DG30" s="202">
        <f>SUM(CM30+CZ30)</f>
        <v>22674.199999999997</v>
      </c>
      <c r="DH30" s="266"/>
      <c r="DI30" s="180"/>
      <c r="DJ30" s="255">
        <f>SUM(CP30+DC30)</f>
        <v>23234.75</v>
      </c>
      <c r="DK30" s="259">
        <f>DJ30-DG30</f>
        <v>560.5500000000029</v>
      </c>
      <c r="DL30" s="183">
        <f>DK30/DJ30</f>
        <v>0.02412550167314057</v>
      </c>
      <c r="DM30" s="206"/>
      <c r="DN30" s="203"/>
      <c r="DO30" s="203">
        <f>DM30-DN30</f>
        <v>0</v>
      </c>
      <c r="DP30" s="207" t="e">
        <f>DO30/DM30</f>
        <v>#DIV/0!</v>
      </c>
      <c r="DQ30" s="242" t="s">
        <v>47</v>
      </c>
      <c r="DR30" s="244" t="s">
        <v>40</v>
      </c>
      <c r="DS30" s="180"/>
      <c r="DT30" s="203">
        <v>5063.3</v>
      </c>
      <c r="DU30" s="180"/>
      <c r="DV30" s="180"/>
      <c r="DW30" s="203">
        <v>4343.02</v>
      </c>
      <c r="DX30" s="203">
        <f>DW30-DT30</f>
        <v>-720.2799999999997</v>
      </c>
      <c r="DY30" s="183">
        <f>DX30/DW30</f>
        <v>-0.16584772807861803</v>
      </c>
      <c r="DZ30" s="264"/>
      <c r="EA30" s="202">
        <f>SUM(DG30+DT30)</f>
        <v>27737.499999999996</v>
      </c>
      <c r="EB30" s="266"/>
      <c r="EC30" s="180"/>
      <c r="ED30" s="255">
        <f>SUM(DJ30+DW30)</f>
        <v>27577.77</v>
      </c>
      <c r="EE30" s="259">
        <f>ED30-EA30</f>
        <v>-159.72999999999593</v>
      </c>
      <c r="EF30" s="183">
        <f>EE30/ED30</f>
        <v>-0.005791983905877666</v>
      </c>
      <c r="EG30" s="206"/>
      <c r="EH30" s="203"/>
      <c r="EI30" s="203">
        <f>EG30-EH30</f>
        <v>0</v>
      </c>
      <c r="EJ30" s="207" t="e">
        <f>EI30/EG30</f>
        <v>#DIV/0!</v>
      </c>
      <c r="EK30" s="242" t="s">
        <v>47</v>
      </c>
      <c r="EL30" s="244" t="s">
        <v>40</v>
      </c>
      <c r="EM30" s="180"/>
      <c r="EN30" s="203">
        <v>5905.29</v>
      </c>
      <c r="EO30" s="180"/>
      <c r="EP30" s="180"/>
      <c r="EQ30" s="203">
        <v>3842.15</v>
      </c>
      <c r="ER30" s="203">
        <f>EQ30-EN30</f>
        <v>-2063.14</v>
      </c>
      <c r="ES30" s="183">
        <f>ER30/EQ30</f>
        <v>-0.5369753913824291</v>
      </c>
      <c r="ET30" s="264"/>
      <c r="EU30" s="202">
        <f>SUM(EA30+EN30)</f>
        <v>33642.78999999999</v>
      </c>
      <c r="EV30" s="266"/>
      <c r="EW30" s="180"/>
      <c r="EX30" s="255">
        <f>SUM(ED30+EQ30)</f>
        <v>31419.920000000002</v>
      </c>
      <c r="EY30" s="259">
        <f>EX30-EU30</f>
        <v>-2222.8699999999917</v>
      </c>
      <c r="EZ30" s="183">
        <f>EY30/EX30</f>
        <v>-0.07074715658092037</v>
      </c>
      <c r="FA30" s="206"/>
      <c r="FB30" s="203"/>
      <c r="FC30" s="203">
        <f>FA30-FB30</f>
        <v>0</v>
      </c>
      <c r="FD30" s="207" t="e">
        <f>FC30/FA30</f>
        <v>#DIV/0!</v>
      </c>
      <c r="FE30" s="242" t="s">
        <v>47</v>
      </c>
      <c r="FF30" s="244" t="s">
        <v>40</v>
      </c>
      <c r="FG30" s="180"/>
      <c r="FH30" s="203">
        <v>3092.77</v>
      </c>
      <c r="FI30" s="180"/>
      <c r="FJ30" s="180"/>
      <c r="FK30" s="202">
        <v>3788</v>
      </c>
      <c r="FL30" s="203">
        <f>FK30-FH30</f>
        <v>695.23</v>
      </c>
      <c r="FM30" s="183">
        <f>FL30/FK30</f>
        <v>0.18353484688489968</v>
      </c>
      <c r="FN30" s="264"/>
      <c r="FO30" s="202">
        <f>SUM(EU30+FH30)</f>
        <v>36735.55999999999</v>
      </c>
      <c r="FP30" s="266"/>
      <c r="FQ30" s="180"/>
      <c r="FR30" s="255">
        <f>SUM(EX30+FK30)</f>
        <v>35207.92</v>
      </c>
      <c r="FS30" s="259">
        <f>FR30-FO30</f>
        <v>-1527.6399999999921</v>
      </c>
      <c r="FT30" s="183">
        <f>FS30/FR30</f>
        <v>-0.04338910108861847</v>
      </c>
      <c r="FU30" s="206"/>
      <c r="FV30" s="203"/>
      <c r="FW30" s="203">
        <f>FU30-FV30</f>
        <v>0</v>
      </c>
      <c r="FX30" s="207" t="e">
        <f>FW30/FU30</f>
        <v>#DIV/0!</v>
      </c>
      <c r="FY30" s="242" t="s">
        <v>47</v>
      </c>
      <c r="FZ30" s="244" t="s">
        <v>40</v>
      </c>
      <c r="GA30" s="180"/>
      <c r="GB30" s="203">
        <v>3030.17</v>
      </c>
      <c r="GC30" s="180"/>
      <c r="GD30" s="180"/>
      <c r="GE30" s="202">
        <v>6659</v>
      </c>
      <c r="GF30" s="203">
        <f>GE30-GB30</f>
        <v>3628.83</v>
      </c>
      <c r="GG30" s="183">
        <f>GF30/GE30</f>
        <v>0.5449511938729539</v>
      </c>
      <c r="GH30" s="264"/>
      <c r="GI30" s="202">
        <f>SUM(FO30+GB30)</f>
        <v>39765.72999999999</v>
      </c>
      <c r="GJ30" s="266"/>
      <c r="GK30" s="180"/>
      <c r="GL30" s="255">
        <f>SUM(FR30+GE30)</f>
        <v>41866.92</v>
      </c>
      <c r="GM30" s="259">
        <f>GL30-GI30</f>
        <v>2101.1900000000096</v>
      </c>
      <c r="GN30" s="183">
        <f>GM30/GL30</f>
        <v>0.050187355554218216</v>
      </c>
      <c r="GO30" s="206"/>
      <c r="GP30" s="203"/>
      <c r="GQ30" s="203">
        <f>GO30-GP30</f>
        <v>0</v>
      </c>
      <c r="GR30" s="207" t="e">
        <f>GQ30/GO30</f>
        <v>#DIV/0!</v>
      </c>
      <c r="GS30" s="242" t="s">
        <v>47</v>
      </c>
      <c r="GT30" s="244" t="s">
        <v>40</v>
      </c>
      <c r="GU30" s="180"/>
      <c r="GV30" s="203">
        <v>3272.85</v>
      </c>
      <c r="GW30" s="180"/>
      <c r="GX30" s="180"/>
      <c r="GY30" s="202">
        <v>3674</v>
      </c>
      <c r="GZ30" s="203">
        <f>GY30-GV30</f>
        <v>401.1500000000001</v>
      </c>
      <c r="HA30" s="183">
        <f>GZ30/GY30</f>
        <v>0.10918617310832882</v>
      </c>
      <c r="HB30" s="264"/>
      <c r="HC30" s="202">
        <f>SUM(GI30+GV30)</f>
        <v>43038.57999999999</v>
      </c>
      <c r="HD30" s="266"/>
      <c r="HE30" s="180"/>
      <c r="HF30" s="255">
        <f>SUM(GL30+GY30)</f>
        <v>45540.92</v>
      </c>
      <c r="HG30" s="259">
        <f>HF30-HC30</f>
        <v>2502.340000000011</v>
      </c>
      <c r="HH30" s="183">
        <f>HG30/HF30</f>
        <v>0.05494706738467319</v>
      </c>
      <c r="HI30" s="206"/>
      <c r="HJ30" s="203"/>
      <c r="HK30" s="203">
        <f>HI30-HJ30</f>
        <v>0</v>
      </c>
      <c r="HL30" s="207" t="e">
        <f>HK30/HI30</f>
        <v>#DIV/0!</v>
      </c>
      <c r="HM30" s="242" t="s">
        <v>47</v>
      </c>
      <c r="HN30" s="244" t="s">
        <v>40</v>
      </c>
      <c r="HO30" s="180"/>
      <c r="HP30" s="203">
        <v>4148.15</v>
      </c>
      <c r="HQ30" s="180"/>
      <c r="HR30" s="180"/>
      <c r="HS30" s="202">
        <v>4620</v>
      </c>
      <c r="HT30" s="203">
        <f>HS30-HP30</f>
        <v>471.85000000000036</v>
      </c>
      <c r="HU30" s="183">
        <f>HT30/HS30</f>
        <v>0.10213203463203471</v>
      </c>
      <c r="HV30" s="264"/>
      <c r="HW30" s="202">
        <f>SUM(HC30+HP30)</f>
        <v>47186.72999999999</v>
      </c>
      <c r="HX30" s="266"/>
      <c r="HY30" s="180"/>
      <c r="HZ30" s="255">
        <f>SUM(HF30+HS30)</f>
        <v>50160.92</v>
      </c>
      <c r="IA30" s="259">
        <f>HZ30-HW30</f>
        <v>2974.1900000000096</v>
      </c>
      <c r="IB30" s="183">
        <f>IA30/HZ30</f>
        <v>0.059292971500522915</v>
      </c>
      <c r="IC30" s="206"/>
      <c r="ID30" s="203"/>
      <c r="IE30" s="203">
        <f>IC30-ID30</f>
        <v>0</v>
      </c>
      <c r="IF30" s="207" t="e">
        <f>IE30/IC30</f>
        <v>#DIV/0!</v>
      </c>
    </row>
    <row r="31" spans="1:240" ht="13.5" thickBot="1">
      <c r="A31" s="242"/>
      <c r="B31" s="244" t="s">
        <v>211</v>
      </c>
      <c r="C31" s="222"/>
      <c r="D31" s="203">
        <v>10339.52</v>
      </c>
      <c r="E31" s="222"/>
      <c r="F31" s="222"/>
      <c r="G31" s="357">
        <v>2203.08</v>
      </c>
      <c r="H31" s="203">
        <f>G31-D31</f>
        <v>-8136.4400000000005</v>
      </c>
      <c r="I31" s="205">
        <f>H31/G31</f>
        <v>-3.693211322330556</v>
      </c>
      <c r="J31" s="222"/>
      <c r="K31" s="202">
        <f>SUM(D31)</f>
        <v>10339.52</v>
      </c>
      <c r="L31" s="222"/>
      <c r="M31" s="363"/>
      <c r="N31" s="255">
        <f>SUM(G31)</f>
        <v>2203.08</v>
      </c>
      <c r="O31" s="364">
        <f>N31-K31</f>
        <v>-8136.4400000000005</v>
      </c>
      <c r="P31" s="205">
        <f t="shared" si="48"/>
        <v>-3.693211322330556</v>
      </c>
      <c r="Q31" s="206"/>
      <c r="R31" s="196">
        <f>K31/$B$50*365</f>
        <v>10339.52</v>
      </c>
      <c r="S31" s="203"/>
      <c r="T31" s="207"/>
      <c r="U31" s="242"/>
      <c r="V31" s="244" t="s">
        <v>211</v>
      </c>
      <c r="W31" s="180"/>
      <c r="X31" s="203">
        <v>15873.73</v>
      </c>
      <c r="Y31" s="222"/>
      <c r="Z31" s="222"/>
      <c r="AA31" s="203">
        <v>0</v>
      </c>
      <c r="AB31" s="203">
        <v>0</v>
      </c>
      <c r="AC31" s="205">
        <v>0</v>
      </c>
      <c r="AD31" s="264"/>
      <c r="AE31" s="181">
        <f>SUM(K31+X31)</f>
        <v>26213.25</v>
      </c>
      <c r="AF31" s="266"/>
      <c r="AG31" s="180"/>
      <c r="AH31" s="195">
        <f>SUM(N31+AA31)</f>
        <v>2203.08</v>
      </c>
      <c r="AI31" s="259">
        <f>AH31-AE31</f>
        <v>-24010.17</v>
      </c>
      <c r="AJ31" s="183">
        <f>AI31/AH31</f>
        <v>-10.898455798246092</v>
      </c>
      <c r="AK31" s="206"/>
      <c r="AL31" s="203"/>
      <c r="AM31" s="203"/>
      <c r="AN31" s="207"/>
      <c r="AO31" s="242"/>
      <c r="AP31" s="244"/>
      <c r="AQ31" s="180"/>
      <c r="AR31" s="203"/>
      <c r="AS31" s="222"/>
      <c r="AT31" s="222"/>
      <c r="AU31" s="202"/>
      <c r="AV31" s="203"/>
      <c r="AW31" s="205"/>
      <c r="AX31" s="430"/>
      <c r="AY31" s="202"/>
      <c r="AZ31" s="431"/>
      <c r="BA31" s="222"/>
      <c r="BB31" s="255"/>
      <c r="BC31" s="364"/>
      <c r="BD31" s="205"/>
      <c r="BE31" s="206"/>
      <c r="BF31" s="203"/>
      <c r="BG31" s="203"/>
      <c r="BH31" s="207"/>
      <c r="BI31" s="242"/>
      <c r="BJ31" s="244"/>
      <c r="BK31" s="180"/>
      <c r="BL31" s="203"/>
      <c r="BM31" s="180"/>
      <c r="BN31" s="180"/>
      <c r="BO31" s="202"/>
      <c r="BP31" s="203"/>
      <c r="BQ31" s="183"/>
      <c r="BR31" s="264"/>
      <c r="BS31" s="202"/>
      <c r="BT31" s="266"/>
      <c r="BU31" s="180"/>
      <c r="BV31" s="255"/>
      <c r="BW31" s="259"/>
      <c r="BX31" s="183"/>
      <c r="BY31" s="206"/>
      <c r="BZ31" s="203"/>
      <c r="CA31" s="203"/>
      <c r="CB31" s="207"/>
      <c r="CC31" s="242"/>
      <c r="CD31" s="244"/>
      <c r="CE31" s="180"/>
      <c r="CF31" s="203"/>
      <c r="CG31" s="180"/>
      <c r="CH31" s="180"/>
      <c r="CI31" s="202"/>
      <c r="CJ31" s="203"/>
      <c r="CK31" s="183"/>
      <c r="CL31" s="264"/>
      <c r="CM31" s="202"/>
      <c r="CN31" s="266"/>
      <c r="CO31" s="180"/>
      <c r="CP31" s="255"/>
      <c r="CQ31" s="259"/>
      <c r="CR31" s="183"/>
      <c r="CS31" s="206"/>
      <c r="CT31" s="203"/>
      <c r="CU31" s="203"/>
      <c r="CV31" s="207"/>
      <c r="CW31" s="242"/>
      <c r="CX31" s="244"/>
      <c r="CY31" s="180"/>
      <c r="CZ31" s="203"/>
      <c r="DA31" s="180"/>
      <c r="DB31" s="180"/>
      <c r="DC31" s="202"/>
      <c r="DD31" s="203"/>
      <c r="DE31" s="183"/>
      <c r="DF31" s="264"/>
      <c r="DG31" s="202"/>
      <c r="DH31" s="266"/>
      <c r="DI31" s="180"/>
      <c r="DJ31" s="255"/>
      <c r="DK31" s="259"/>
      <c r="DL31" s="183"/>
      <c r="DM31" s="206"/>
      <c r="DN31" s="203"/>
      <c r="DO31" s="203"/>
      <c r="DP31" s="207"/>
      <c r="DQ31" s="242"/>
      <c r="DR31" s="244"/>
      <c r="DS31" s="180"/>
      <c r="DT31" s="203"/>
      <c r="DU31" s="180"/>
      <c r="DV31" s="180"/>
      <c r="DW31" s="203"/>
      <c r="DX31" s="203"/>
      <c r="DY31" s="183"/>
      <c r="DZ31" s="264"/>
      <c r="EA31" s="202"/>
      <c r="EB31" s="266"/>
      <c r="EC31" s="180"/>
      <c r="ED31" s="255"/>
      <c r="EE31" s="259"/>
      <c r="EF31" s="183"/>
      <c r="EG31" s="206"/>
      <c r="EH31" s="203"/>
      <c r="EI31" s="203"/>
      <c r="EJ31" s="207"/>
      <c r="EK31" s="242"/>
      <c r="EL31" s="244"/>
      <c r="EM31" s="180"/>
      <c r="EN31" s="203"/>
      <c r="EO31" s="180"/>
      <c r="EP31" s="180"/>
      <c r="EQ31" s="203"/>
      <c r="ER31" s="203"/>
      <c r="ES31" s="183"/>
      <c r="ET31" s="264"/>
      <c r="EU31" s="202"/>
      <c r="EV31" s="266"/>
      <c r="EW31" s="180"/>
      <c r="EX31" s="255"/>
      <c r="EY31" s="259"/>
      <c r="EZ31" s="183"/>
      <c r="FA31" s="206"/>
      <c r="FB31" s="203"/>
      <c r="FC31" s="203"/>
      <c r="FD31" s="207"/>
      <c r="FE31" s="242"/>
      <c r="FF31" s="244"/>
      <c r="FG31" s="180"/>
      <c r="FH31" s="203"/>
      <c r="FI31" s="180"/>
      <c r="FJ31" s="180"/>
      <c r="FK31" s="202"/>
      <c r="FL31" s="203"/>
      <c r="FM31" s="183"/>
      <c r="FN31" s="264"/>
      <c r="FO31" s="202"/>
      <c r="FP31" s="266"/>
      <c r="FQ31" s="180"/>
      <c r="FR31" s="255"/>
      <c r="FS31" s="259"/>
      <c r="FT31" s="183"/>
      <c r="FU31" s="206"/>
      <c r="FV31" s="203"/>
      <c r="FW31" s="203"/>
      <c r="FX31" s="207"/>
      <c r="FY31" s="242"/>
      <c r="FZ31" s="244"/>
      <c r="GA31" s="180"/>
      <c r="GB31" s="203"/>
      <c r="GC31" s="180"/>
      <c r="GD31" s="180"/>
      <c r="GE31" s="202"/>
      <c r="GF31" s="203"/>
      <c r="GG31" s="183"/>
      <c r="GH31" s="264"/>
      <c r="GI31" s="202"/>
      <c r="GJ31" s="266"/>
      <c r="GK31" s="180"/>
      <c r="GL31" s="255"/>
      <c r="GM31" s="259"/>
      <c r="GN31" s="183"/>
      <c r="GO31" s="206"/>
      <c r="GP31" s="203"/>
      <c r="GQ31" s="203"/>
      <c r="GR31" s="207"/>
      <c r="GS31" s="242"/>
      <c r="GT31" s="244"/>
      <c r="GU31" s="180"/>
      <c r="GV31" s="203"/>
      <c r="GW31" s="180"/>
      <c r="GX31" s="180"/>
      <c r="GY31" s="202"/>
      <c r="GZ31" s="203"/>
      <c r="HA31" s="183"/>
      <c r="HB31" s="264"/>
      <c r="HC31" s="202"/>
      <c r="HD31" s="266"/>
      <c r="HE31" s="180"/>
      <c r="HF31" s="255"/>
      <c r="HG31" s="259"/>
      <c r="HH31" s="183"/>
      <c r="HI31" s="206"/>
      <c r="HJ31" s="203"/>
      <c r="HK31" s="203"/>
      <c r="HL31" s="207"/>
      <c r="HM31" s="242"/>
      <c r="HN31" s="244"/>
      <c r="HO31" s="180"/>
      <c r="HP31" s="203"/>
      <c r="HQ31" s="180"/>
      <c r="HR31" s="180"/>
      <c r="HS31" s="202"/>
      <c r="HT31" s="203"/>
      <c r="HU31" s="183"/>
      <c r="HV31" s="264"/>
      <c r="HW31" s="202"/>
      <c r="HX31" s="266"/>
      <c r="HY31" s="180"/>
      <c r="HZ31" s="255"/>
      <c r="IA31" s="259"/>
      <c r="IB31" s="183"/>
      <c r="IC31" s="206"/>
      <c r="ID31" s="203"/>
      <c r="IE31" s="203"/>
      <c r="IF31" s="207"/>
    </row>
    <row r="32" spans="1:240" ht="13.5" thickBot="1">
      <c r="A32" s="243"/>
      <c r="B32" s="233" t="s">
        <v>26</v>
      </c>
      <c r="C32" s="180"/>
      <c r="D32" s="203">
        <f>SUM(D29:D31)</f>
        <v>198459.45</v>
      </c>
      <c r="E32" s="180"/>
      <c r="F32" s="180"/>
      <c r="G32" s="187">
        <f>SUM(G29:G31)</f>
        <v>225990.08</v>
      </c>
      <c r="H32" s="203">
        <f>G32-D32</f>
        <v>27530.629999999976</v>
      </c>
      <c r="I32" s="205">
        <f>H32/G32</f>
        <v>0.12182229414671643</v>
      </c>
      <c r="J32" s="222"/>
      <c r="K32" s="203">
        <f>SUM(K29:K31)</f>
        <v>198459.45</v>
      </c>
      <c r="L32" s="222"/>
      <c r="M32" s="223"/>
      <c r="N32" s="203">
        <f>SUM(N29:N31)</f>
        <v>225990.08</v>
      </c>
      <c r="O32" s="203">
        <f aca="true" t="shared" si="49" ref="O32:O47">N32-K32</f>
        <v>27530.629999999976</v>
      </c>
      <c r="P32" s="205">
        <f t="shared" si="48"/>
        <v>0.12182229414671643</v>
      </c>
      <c r="Q32" s="206">
        <f>SUM(Q29:Q30)</f>
        <v>0</v>
      </c>
      <c r="R32" s="198">
        <f>SUM(R29:R30)</f>
        <v>188119.93000000002</v>
      </c>
      <c r="S32" s="203">
        <f>Q32-R32</f>
        <v>-188119.93000000002</v>
      </c>
      <c r="T32" s="207" t="e">
        <f>S32/Q32</f>
        <v>#DIV/0!</v>
      </c>
      <c r="U32" s="243"/>
      <c r="V32" s="233" t="s">
        <v>26</v>
      </c>
      <c r="W32" s="189"/>
      <c r="X32" s="198">
        <f>SUM(X29:X30)</f>
        <v>137241.02</v>
      </c>
      <c r="Y32" s="189"/>
      <c r="Z32" s="189"/>
      <c r="AA32" s="198">
        <f>SUM(AA29:AA31)</f>
        <v>141323.15</v>
      </c>
      <c r="AB32" s="198">
        <f>AA32-X32</f>
        <v>4082.1300000000047</v>
      </c>
      <c r="AC32" s="192">
        <f>AB32/AA32</f>
        <v>0.028885076507281397</v>
      </c>
      <c r="AD32" s="189"/>
      <c r="AE32" s="198">
        <f>SUM(AE29:AE31)</f>
        <v>351574.2</v>
      </c>
      <c r="AF32" s="189"/>
      <c r="AG32" s="189"/>
      <c r="AH32" s="208">
        <f>SUM(AH29:AH30)</f>
        <v>365110.15</v>
      </c>
      <c r="AI32" s="198">
        <f>AH32-AE32</f>
        <v>13535.950000000012</v>
      </c>
      <c r="AJ32" s="192">
        <f>AI32/AH32</f>
        <v>0.037073606417131956</v>
      </c>
      <c r="AK32" s="188">
        <f>SUM(AK29:AK30)</f>
        <v>0</v>
      </c>
      <c r="AL32" s="198">
        <f>SUM(AL29:AL30)</f>
        <v>0</v>
      </c>
      <c r="AM32" s="208">
        <f>AK32-AL32</f>
        <v>0</v>
      </c>
      <c r="AN32" s="209" t="e">
        <f>AM32/AK32</f>
        <v>#DIV/0!</v>
      </c>
      <c r="AO32" s="243"/>
      <c r="AP32" s="233" t="s">
        <v>26</v>
      </c>
      <c r="AQ32" s="189"/>
      <c r="AR32" s="198">
        <f>SUM(AR29:AR30)</f>
        <v>165347.64</v>
      </c>
      <c r="AS32" s="189"/>
      <c r="AT32" s="189"/>
      <c r="AU32" s="190">
        <f>SUM(AU29:AU30)</f>
        <v>179572</v>
      </c>
      <c r="AV32" s="198">
        <f>AU32-AR32</f>
        <v>14224.359999999986</v>
      </c>
      <c r="AW32" s="192">
        <f>AV32/AU32</f>
        <v>0.07921257211592</v>
      </c>
      <c r="AX32" s="189"/>
      <c r="AY32" s="203">
        <f>SUM(AY29:AY30)</f>
        <v>490708.58999999997</v>
      </c>
      <c r="AZ32" s="189"/>
      <c r="BA32" s="189"/>
      <c r="BB32" s="204">
        <f>SUM(BB29:BB30)</f>
        <v>544682.15</v>
      </c>
      <c r="BC32" s="198">
        <f>BB32-AY32</f>
        <v>53973.560000000056</v>
      </c>
      <c r="BD32" s="192">
        <f>BC32/BB32</f>
        <v>0.09909184650167084</v>
      </c>
      <c r="BE32" s="188">
        <f>SUM(BE29:BE30)</f>
        <v>0</v>
      </c>
      <c r="BF32" s="198">
        <f>SUM(BF29:BF30)</f>
        <v>0</v>
      </c>
      <c r="BG32" s="208">
        <f>BE32-BF32</f>
        <v>0</v>
      </c>
      <c r="BH32" s="209" t="e">
        <f>BG32/BE32</f>
        <v>#DIV/0!</v>
      </c>
      <c r="BI32" s="243"/>
      <c r="BJ32" s="233" t="s">
        <v>26</v>
      </c>
      <c r="BK32" s="189"/>
      <c r="BL32" s="198">
        <f>SUM(BL29:BL30)</f>
        <v>198896.81999999998</v>
      </c>
      <c r="BM32" s="189"/>
      <c r="BN32" s="189"/>
      <c r="BO32" s="190">
        <f>SUM(BO29:BO30)</f>
        <v>132123</v>
      </c>
      <c r="BP32" s="198">
        <f>BO32-BL32</f>
        <v>-66773.81999999998</v>
      </c>
      <c r="BQ32" s="192">
        <f>BP32/BO32</f>
        <v>-0.5053913398878316</v>
      </c>
      <c r="BR32" s="189"/>
      <c r="BS32" s="203">
        <f>SUM(BS29:BS30)</f>
        <v>689605.4099999999</v>
      </c>
      <c r="BT32" s="189"/>
      <c r="BU32" s="189"/>
      <c r="BV32" s="204">
        <f>SUM(BV29:BV30)</f>
        <v>676805.15</v>
      </c>
      <c r="BW32" s="198">
        <f>BV32-BS32</f>
        <v>-12800.259999999893</v>
      </c>
      <c r="BX32" s="192">
        <f>BW32/BV32</f>
        <v>-0.018912769797924694</v>
      </c>
      <c r="BY32" s="188">
        <f>SUM(BY29:BY30)</f>
        <v>0</v>
      </c>
      <c r="BZ32" s="198">
        <f>SUM(BZ29:BZ30)</f>
        <v>0</v>
      </c>
      <c r="CA32" s="208">
        <f>BY32-BZ32</f>
        <v>0</v>
      </c>
      <c r="CB32" s="209" t="e">
        <f>CA32/BY32</f>
        <v>#DIV/0!</v>
      </c>
      <c r="CC32" s="243"/>
      <c r="CD32" s="233" t="s">
        <v>26</v>
      </c>
      <c r="CE32" s="189"/>
      <c r="CF32" s="198">
        <f>SUM(CF29:CF30)</f>
        <v>182408.58</v>
      </c>
      <c r="CG32" s="189"/>
      <c r="CH32" s="189"/>
      <c r="CI32" s="190">
        <f>SUM(CI29:CI30)</f>
        <v>144160</v>
      </c>
      <c r="CJ32" s="198">
        <f>CI32-CF32</f>
        <v>-38248.57999999999</v>
      </c>
      <c r="CK32" s="192">
        <f>CJ32/CI32</f>
        <v>-0.2653203385127635</v>
      </c>
      <c r="CL32" s="189"/>
      <c r="CM32" s="203">
        <f>SUM(CM29:CM30)</f>
        <v>872013.9899999999</v>
      </c>
      <c r="CN32" s="189"/>
      <c r="CO32" s="189"/>
      <c r="CP32" s="204">
        <f>SUM(CP29:CP30)</f>
        <v>820965.15</v>
      </c>
      <c r="CQ32" s="198">
        <f>CP32-CM32</f>
        <v>-51048.83999999985</v>
      </c>
      <c r="CR32" s="192">
        <f>CQ32/CP32</f>
        <v>-0.062181494549433496</v>
      </c>
      <c r="CS32" s="188">
        <f>SUM(CS29:CS30)</f>
        <v>0</v>
      </c>
      <c r="CT32" s="198">
        <f>SUM(CT29:CT30)</f>
        <v>0</v>
      </c>
      <c r="CU32" s="208">
        <f>CS32-CT32</f>
        <v>0</v>
      </c>
      <c r="CV32" s="209" t="e">
        <f>CU32/CS32</f>
        <v>#DIV/0!</v>
      </c>
      <c r="CW32" s="243"/>
      <c r="CX32" s="233" t="s">
        <v>26</v>
      </c>
      <c r="CY32" s="189"/>
      <c r="CZ32" s="198">
        <f>SUM(CZ29:CZ30)</f>
        <v>181967.41</v>
      </c>
      <c r="DA32" s="189"/>
      <c r="DB32" s="189"/>
      <c r="DC32" s="190">
        <f>SUM(DC29:DC30)</f>
        <v>124903</v>
      </c>
      <c r="DD32" s="198">
        <f>DC32-CZ32</f>
        <v>-57064.41</v>
      </c>
      <c r="DE32" s="192">
        <f>DD32/DC32</f>
        <v>-0.4568698109733153</v>
      </c>
      <c r="DF32" s="189"/>
      <c r="DG32" s="203">
        <f>SUM(DG29:DG30)</f>
        <v>1053981.4</v>
      </c>
      <c r="DH32" s="189"/>
      <c r="DI32" s="189"/>
      <c r="DJ32" s="204">
        <f>SUM(DJ29:DJ30)</f>
        <v>945868.15</v>
      </c>
      <c r="DK32" s="198">
        <f>DJ32-DG32</f>
        <v>-108113.24999999988</v>
      </c>
      <c r="DL32" s="192">
        <f>DK32/DJ32</f>
        <v>-0.11430055024053816</v>
      </c>
      <c r="DM32" s="188">
        <f>SUM(DM29:DM30)</f>
        <v>0</v>
      </c>
      <c r="DN32" s="198">
        <f>SUM(DN29:DN30)</f>
        <v>0</v>
      </c>
      <c r="DO32" s="208">
        <f>DM32-DN32</f>
        <v>0</v>
      </c>
      <c r="DP32" s="209" t="e">
        <f>DO32/DM32</f>
        <v>#DIV/0!</v>
      </c>
      <c r="DQ32" s="243"/>
      <c r="DR32" s="233" t="s">
        <v>26</v>
      </c>
      <c r="DS32" s="189"/>
      <c r="DT32" s="198">
        <f>SUM(DT29:DT30)</f>
        <v>206748.62</v>
      </c>
      <c r="DU32" s="189"/>
      <c r="DV32" s="189"/>
      <c r="DW32" s="198">
        <f>SUM(DW29:DW30)</f>
        <v>125912.36</v>
      </c>
      <c r="DX32" s="198">
        <f>DW32-DT32</f>
        <v>-80836.26</v>
      </c>
      <c r="DY32" s="192">
        <f>DX32/DW32</f>
        <v>-0.6420041686137882</v>
      </c>
      <c r="DZ32" s="189"/>
      <c r="EA32" s="203">
        <f>SUM(EA29:EA30)</f>
        <v>1260730.02</v>
      </c>
      <c r="EB32" s="189"/>
      <c r="EC32" s="189"/>
      <c r="ED32" s="204">
        <f>SUM(ED29:ED30)</f>
        <v>1071780.51</v>
      </c>
      <c r="EE32" s="198">
        <f>ED32-EA32</f>
        <v>-188949.51</v>
      </c>
      <c r="EF32" s="192">
        <f>EE32/ED32</f>
        <v>-0.1762949673343099</v>
      </c>
      <c r="EG32" s="188">
        <f>SUM(EG29:EG30)</f>
        <v>0</v>
      </c>
      <c r="EH32" s="198">
        <f>SUM(EH29:EH30)</f>
        <v>0</v>
      </c>
      <c r="EI32" s="208">
        <f>EG32-EH32</f>
        <v>0</v>
      </c>
      <c r="EJ32" s="209" t="e">
        <f>EI32/EG32</f>
        <v>#DIV/0!</v>
      </c>
      <c r="EK32" s="243"/>
      <c r="EL32" s="233" t="s">
        <v>26</v>
      </c>
      <c r="EM32" s="189"/>
      <c r="EN32" s="198">
        <f>SUM(EN29:EN30)</f>
        <v>167007.44</v>
      </c>
      <c r="EO32" s="189"/>
      <c r="EP32" s="189"/>
      <c r="EQ32" s="198">
        <f>SUM(EQ29:EQ30)</f>
        <v>125761.65</v>
      </c>
      <c r="ER32" s="198">
        <f>EQ32-EN32</f>
        <v>-41245.79000000001</v>
      </c>
      <c r="ES32" s="192">
        <f>ER32/EQ32</f>
        <v>-0.32796794571318055</v>
      </c>
      <c r="ET32" s="189"/>
      <c r="EU32" s="203">
        <f>SUM(EU29:EU30)</f>
        <v>1427737.46</v>
      </c>
      <c r="EV32" s="189"/>
      <c r="EW32" s="189"/>
      <c r="EX32" s="204">
        <f>SUM(EX29:EX30)</f>
        <v>1197542.16</v>
      </c>
      <c r="EY32" s="198">
        <f>EX32-EU32</f>
        <v>-230195.30000000005</v>
      </c>
      <c r="EZ32" s="192">
        <f>EY32/EX32</f>
        <v>-0.19222312807759526</v>
      </c>
      <c r="FA32" s="188">
        <f>SUM(FA29:FA30)</f>
        <v>0</v>
      </c>
      <c r="FB32" s="198">
        <f>SUM(FB29:FB30)</f>
        <v>0</v>
      </c>
      <c r="FC32" s="208">
        <f>FA32-FB32</f>
        <v>0</v>
      </c>
      <c r="FD32" s="209" t="e">
        <f>FC32/FA32</f>
        <v>#DIV/0!</v>
      </c>
      <c r="FE32" s="243"/>
      <c r="FF32" s="233" t="s">
        <v>26</v>
      </c>
      <c r="FG32" s="189"/>
      <c r="FH32" s="198">
        <f>SUM(FH29:FH30)</f>
        <v>162850.87999999998</v>
      </c>
      <c r="FI32" s="189"/>
      <c r="FJ32" s="189"/>
      <c r="FK32" s="190">
        <f>SUM(FK29:FK30)</f>
        <v>131849</v>
      </c>
      <c r="FL32" s="198">
        <f>FK32-FH32</f>
        <v>-31001.879999999976</v>
      </c>
      <c r="FM32" s="192">
        <f>FL32/FK32</f>
        <v>-0.2351317036913437</v>
      </c>
      <c r="FN32" s="189"/>
      <c r="FO32" s="203">
        <f>SUM(FO29:FO30)</f>
        <v>1590588.3399999999</v>
      </c>
      <c r="FP32" s="189"/>
      <c r="FQ32" s="189"/>
      <c r="FR32" s="204">
        <f>SUM(FR29:FR30)</f>
        <v>1329391.16</v>
      </c>
      <c r="FS32" s="198">
        <f>FR32-FO32</f>
        <v>-261197.17999999993</v>
      </c>
      <c r="FT32" s="192">
        <f>FS32/FR32</f>
        <v>-0.19647880011478333</v>
      </c>
      <c r="FU32" s="188">
        <f>SUM(FU29:FU30)</f>
        <v>0</v>
      </c>
      <c r="FV32" s="198">
        <f>SUM(FV29:FV30)</f>
        <v>0</v>
      </c>
      <c r="FW32" s="208">
        <f>FU32-FV32</f>
        <v>0</v>
      </c>
      <c r="FX32" s="209" t="e">
        <f>FW32/FU32</f>
        <v>#DIV/0!</v>
      </c>
      <c r="FY32" s="243"/>
      <c r="FZ32" s="233" t="s">
        <v>26</v>
      </c>
      <c r="GA32" s="189"/>
      <c r="GB32" s="198">
        <f>SUM(GB29:GB30)</f>
        <v>186354.84000000003</v>
      </c>
      <c r="GC32" s="189"/>
      <c r="GD32" s="189"/>
      <c r="GE32" s="190">
        <f>SUM(GE29:GE30)</f>
        <v>125583</v>
      </c>
      <c r="GF32" s="198">
        <f>GE32-GB32</f>
        <v>-60771.840000000026</v>
      </c>
      <c r="GG32" s="192">
        <f>GF32/GE32</f>
        <v>-0.4839177277179238</v>
      </c>
      <c r="GH32" s="189"/>
      <c r="GI32" s="203">
        <f>SUM(GI29:GI30)</f>
        <v>1776943.1799999997</v>
      </c>
      <c r="GJ32" s="189"/>
      <c r="GK32" s="189"/>
      <c r="GL32" s="204">
        <f>SUM(GL29:GL30)</f>
        <v>1454974.16</v>
      </c>
      <c r="GM32" s="198">
        <f>GL32-GI32</f>
        <v>-321969.0199999998</v>
      </c>
      <c r="GN32" s="192">
        <f>GM32/GL32</f>
        <v>-0.22128847978990898</v>
      </c>
      <c r="GO32" s="188">
        <f>SUM(GO29:GO30)</f>
        <v>0</v>
      </c>
      <c r="GP32" s="198">
        <f>SUM(GP29:GP30)</f>
        <v>0</v>
      </c>
      <c r="GQ32" s="208">
        <f>GO32-GP32</f>
        <v>0</v>
      </c>
      <c r="GR32" s="209" t="e">
        <f>GQ32/GO32</f>
        <v>#DIV/0!</v>
      </c>
      <c r="GS32" s="243"/>
      <c r="GT32" s="233" t="s">
        <v>26</v>
      </c>
      <c r="GU32" s="189"/>
      <c r="GV32" s="198">
        <f>SUM(GV29:GV30)</f>
        <v>179639.06</v>
      </c>
      <c r="GW32" s="189"/>
      <c r="GX32" s="189"/>
      <c r="GY32" s="190">
        <f>SUM(GY29:GY30)</f>
        <v>148791</v>
      </c>
      <c r="GZ32" s="198">
        <f>GY32-GV32</f>
        <v>-30848.059999999998</v>
      </c>
      <c r="HA32" s="192">
        <f>GZ32/GY32</f>
        <v>-0.2073247709874925</v>
      </c>
      <c r="HB32" s="189"/>
      <c r="HC32" s="203">
        <f>SUM(HC29:HC30)</f>
        <v>1956582.2399999998</v>
      </c>
      <c r="HD32" s="189"/>
      <c r="HE32" s="189"/>
      <c r="HF32" s="204">
        <f>SUM(HF29:HF30)</f>
        <v>1603765.16</v>
      </c>
      <c r="HG32" s="198">
        <f>HF32-HC32</f>
        <v>-352817.07999999984</v>
      </c>
      <c r="HH32" s="192">
        <f>HG32/HF32</f>
        <v>-0.2199929820148979</v>
      </c>
      <c r="HI32" s="188">
        <f>SUM(HI29:HI30)</f>
        <v>0</v>
      </c>
      <c r="HJ32" s="198">
        <f>SUM(HJ29:HJ30)</f>
        <v>0</v>
      </c>
      <c r="HK32" s="208">
        <f>HI32-HJ32</f>
        <v>0</v>
      </c>
      <c r="HL32" s="209" t="e">
        <f>HK32/HI32</f>
        <v>#DIV/0!</v>
      </c>
      <c r="HM32" s="243"/>
      <c r="HN32" s="233" t="s">
        <v>26</v>
      </c>
      <c r="HO32" s="189"/>
      <c r="HP32" s="198">
        <f>SUM(HP29:HP30)</f>
        <v>171779.16</v>
      </c>
      <c r="HQ32" s="189"/>
      <c r="HR32" s="189"/>
      <c r="HS32" s="190">
        <f>SUM(HS29:HS30)</f>
        <v>155792</v>
      </c>
      <c r="HT32" s="198">
        <f>HS32-HP32</f>
        <v>-15987.160000000003</v>
      </c>
      <c r="HU32" s="192">
        <f>HT32/HS32</f>
        <v>-0.10261861969805897</v>
      </c>
      <c r="HV32" s="189"/>
      <c r="HW32" s="203">
        <f>SUM(HW29:HW30)</f>
        <v>2128361.4</v>
      </c>
      <c r="HX32" s="189"/>
      <c r="HY32" s="189"/>
      <c r="HZ32" s="204">
        <f>SUM(HZ29:HZ30)</f>
        <v>1759557.16</v>
      </c>
      <c r="IA32" s="198">
        <f>HZ32-HW32</f>
        <v>-368804.24</v>
      </c>
      <c r="IB32" s="192">
        <f>IA32/HZ32</f>
        <v>-0.20960060200601838</v>
      </c>
      <c r="IC32" s="188">
        <f>SUM(IC29:IC30)</f>
        <v>0</v>
      </c>
      <c r="ID32" s="198">
        <f>SUM(ID29:ID30)</f>
        <v>0</v>
      </c>
      <c r="IE32" s="208">
        <f>IC32-ID32</f>
        <v>0</v>
      </c>
      <c r="IF32" s="209" t="e">
        <f>IE32/IC32</f>
        <v>#DIV/0!</v>
      </c>
    </row>
    <row r="33" spans="1:240" ht="13.5" thickBot="1">
      <c r="A33" s="242"/>
      <c r="B33" s="233"/>
      <c r="U33" s="242"/>
      <c r="V33" s="232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242"/>
      <c r="AP33" s="232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242"/>
      <c r="BJ33" s="232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242"/>
      <c r="CD33" s="232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242"/>
      <c r="CX33" s="232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242"/>
      <c r="DR33" s="232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242"/>
      <c r="EL33" s="232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242"/>
      <c r="FF33" s="232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242"/>
      <c r="FZ33" s="232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242"/>
      <c r="GT33" s="232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242"/>
      <c r="HN33" s="232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</row>
    <row r="34" spans="1:240" ht="13.5" thickBot="1">
      <c r="A34" s="245" t="s">
        <v>48</v>
      </c>
      <c r="B34" s="365" t="s">
        <v>39</v>
      </c>
      <c r="C34" s="210"/>
      <c r="D34" s="211">
        <f>D29/D14</f>
        <v>111.09684972842487</v>
      </c>
      <c r="E34" s="210"/>
      <c r="F34" s="210"/>
      <c r="G34" s="211">
        <f>G29/G14</f>
        <v>114.88161341016239</v>
      </c>
      <c r="H34" s="211">
        <f aca="true" t="shared" si="50" ref="H34:H40">G34-D34</f>
        <v>3.784763681737516</v>
      </c>
      <c r="I34" s="175">
        <f aca="true" t="shared" si="51" ref="I34:I40">H34/G34</f>
        <v>0.03294490362199873</v>
      </c>
      <c r="J34" s="210"/>
      <c r="K34" s="211">
        <f>K29/K14</f>
        <v>111.09684972842487</v>
      </c>
      <c r="L34" s="172"/>
      <c r="M34" s="176"/>
      <c r="N34" s="212">
        <f>N29/N14</f>
        <v>114.88161341016239</v>
      </c>
      <c r="O34" s="212">
        <f t="shared" si="49"/>
        <v>3.784763681737516</v>
      </c>
      <c r="P34" s="213">
        <f t="shared" si="48"/>
        <v>0.03294490362199873</v>
      </c>
      <c r="Q34" s="178"/>
      <c r="R34" s="211">
        <f>R29/R14</f>
        <v>111.09684972842487</v>
      </c>
      <c r="S34" s="178"/>
      <c r="T34" s="178"/>
      <c r="U34" s="245" t="s">
        <v>48</v>
      </c>
      <c r="V34" s="370" t="s">
        <v>39</v>
      </c>
      <c r="W34" s="210"/>
      <c r="X34" s="211">
        <f>X29/X14</f>
        <v>109.91356141797196</v>
      </c>
      <c r="Y34" s="210"/>
      <c r="Z34" s="210"/>
      <c r="AA34" s="211">
        <f>AA29/AA14</f>
        <v>100.3068115942029</v>
      </c>
      <c r="AB34" s="211">
        <f>AA34-X34</f>
        <v>-9.606749823769064</v>
      </c>
      <c r="AC34" s="175">
        <f>AB34/AA34</f>
        <v>-0.09577365356436346</v>
      </c>
      <c r="AD34" s="210"/>
      <c r="AE34" s="211">
        <f>AE29/AE14</f>
        <v>110.59673519163763</v>
      </c>
      <c r="AF34" s="172"/>
      <c r="AG34" s="176"/>
      <c r="AH34" s="212">
        <f>AH29/AH14</f>
        <v>108.76631194892065</v>
      </c>
      <c r="AI34" s="212">
        <f aca="true" t="shared" si="52" ref="AI34:AI40">AH34-AE34</f>
        <v>-1.8304232427169893</v>
      </c>
      <c r="AJ34" s="213">
        <f aca="true" t="shared" si="53" ref="AJ34:AJ40">AI34/AH34</f>
        <v>-0.016828953836152884</v>
      </c>
      <c r="AK34" s="178"/>
      <c r="AL34" s="211" t="e">
        <f>AL29/AL14</f>
        <v>#DIV/0!</v>
      </c>
      <c r="AM34" s="178"/>
      <c r="AN34" s="178"/>
      <c r="AO34" s="245" t="s">
        <v>48</v>
      </c>
      <c r="AP34" s="245" t="s">
        <v>39</v>
      </c>
      <c r="AQ34" s="210"/>
      <c r="AR34" s="211">
        <f>AR29/AR14</f>
        <v>113.74257928118394</v>
      </c>
      <c r="AS34" s="210"/>
      <c r="AT34" s="210"/>
      <c r="AU34" s="211">
        <f>AU29/AU14</f>
        <v>128.3296460176991</v>
      </c>
      <c r="AV34" s="211">
        <f>AU34-AR34</f>
        <v>14.587066736515169</v>
      </c>
      <c r="AW34" s="175">
        <f>AV34/AU34</f>
        <v>0.11366872105688917</v>
      </c>
      <c r="AX34" s="210"/>
      <c r="AY34" s="211">
        <f>AY29/AY14</f>
        <v>111.63752622989041</v>
      </c>
      <c r="AZ34" s="172"/>
      <c r="BA34" s="176"/>
      <c r="BB34" s="212">
        <f>BB29/BB14</f>
        <v>114.4773735199139</v>
      </c>
      <c r="BC34" s="212">
        <f>BB34-AY34</f>
        <v>2.839847290023485</v>
      </c>
      <c r="BD34" s="213">
        <f>BC34/BB34</f>
        <v>0.024807061890963805</v>
      </c>
      <c r="BE34" s="178"/>
      <c r="BF34" s="211" t="e">
        <f>BF29/BF14</f>
        <v>#DIV/0!</v>
      </c>
      <c r="BG34" s="178"/>
      <c r="BH34" s="178"/>
      <c r="BI34" s="245" t="s">
        <v>48</v>
      </c>
      <c r="BJ34" s="245" t="s">
        <v>39</v>
      </c>
      <c r="BK34" s="210"/>
      <c r="BL34" s="211">
        <f>BL29/BL14</f>
        <v>147.87354765506808</v>
      </c>
      <c r="BM34" s="210"/>
      <c r="BN34" s="210"/>
      <c r="BO34" s="211">
        <f>BO29/BO14</f>
        <v>106.51821192052981</v>
      </c>
      <c r="BP34" s="211">
        <f>BO34-BL34</f>
        <v>-41.35533573453827</v>
      </c>
      <c r="BQ34" s="175">
        <f>BP34/BO34</f>
        <v>-0.38824661988686315</v>
      </c>
      <c r="BR34" s="210"/>
      <c r="BS34" s="211">
        <f>BS29/BS14</f>
        <v>120.17504544644447</v>
      </c>
      <c r="BT34" s="172"/>
      <c r="BU34" s="176"/>
      <c r="BV34" s="212">
        <f>BV29/BV14</f>
        <v>112.83468306851188</v>
      </c>
      <c r="BW34" s="212">
        <f>BV34-BS34</f>
        <v>-7.340362377932593</v>
      </c>
      <c r="BX34" s="213">
        <f>BW34/BV34</f>
        <v>-0.06505413210116974</v>
      </c>
      <c r="BY34" s="178"/>
      <c r="BZ34" s="211" t="e">
        <f>BZ29/BZ14</f>
        <v>#DIV/0!</v>
      </c>
      <c r="CA34" s="178"/>
      <c r="CB34" s="178"/>
      <c r="CC34" s="245" t="s">
        <v>48</v>
      </c>
      <c r="CD34" s="245" t="s">
        <v>39</v>
      </c>
      <c r="CE34" s="210"/>
      <c r="CF34" s="211">
        <f>CF29/CF14</f>
        <v>129.22315256688358</v>
      </c>
      <c r="CG34" s="210"/>
      <c r="CH34" s="210"/>
      <c r="CI34" s="211">
        <f>CI29/CI14</f>
        <v>98.71448663853727</v>
      </c>
      <c r="CJ34" s="211">
        <f>CI34-CF34</f>
        <v>-30.508665928346318</v>
      </c>
      <c r="CK34" s="175">
        <f>CJ34/CI34</f>
        <v>-0.3090596625403105</v>
      </c>
      <c r="CL34" s="210"/>
      <c r="CM34" s="211">
        <f>CM29/CM14</f>
        <v>121.96422647983985</v>
      </c>
      <c r="CN34" s="172"/>
      <c r="CO34" s="176"/>
      <c r="CP34" s="212">
        <f>CP29/CP14</f>
        <v>110.0746941580756</v>
      </c>
      <c r="CQ34" s="212">
        <f>CP34-CM34</f>
        <v>-11.88953232176425</v>
      </c>
      <c r="CR34" s="213">
        <f>CQ34/CP34</f>
        <v>-0.108013312348522</v>
      </c>
      <c r="CS34" s="178"/>
      <c r="CT34" s="211" t="e">
        <f>CT29/CT14</f>
        <v>#DIV/0!</v>
      </c>
      <c r="CU34" s="178"/>
      <c r="CV34" s="178"/>
      <c r="CW34" s="245" t="s">
        <v>48</v>
      </c>
      <c r="CX34" s="245" t="s">
        <v>39</v>
      </c>
      <c r="CY34" s="210"/>
      <c r="CZ34" s="211">
        <f>CZ29/CZ14</f>
        <v>124.85252100840336</v>
      </c>
      <c r="DA34" s="210"/>
      <c r="DB34" s="210"/>
      <c r="DC34" s="211">
        <f>DC29/DC14</f>
        <v>99.95077932731748</v>
      </c>
      <c r="DD34" s="211">
        <f>DC34-CZ34</f>
        <v>-24.90174168108588</v>
      </c>
      <c r="DE34" s="175">
        <f>DD34/DC34</f>
        <v>-0.24914004521703617</v>
      </c>
      <c r="DF34" s="210"/>
      <c r="DG34" s="211">
        <f>DG29/DG14</f>
        <v>122.45395393018285</v>
      </c>
      <c r="DH34" s="172"/>
      <c r="DI34" s="176"/>
      <c r="DJ34" s="212">
        <f>DJ29/DJ14</f>
        <v>108.62178008005651</v>
      </c>
      <c r="DK34" s="212">
        <f>DJ34-DG34</f>
        <v>-13.832173850126338</v>
      </c>
      <c r="DL34" s="213">
        <f>DK34/DJ34</f>
        <v>-0.1273425443767515</v>
      </c>
      <c r="DM34" s="178"/>
      <c r="DN34" s="211" t="e">
        <f>DN29/DN14</f>
        <v>#DIV/0!</v>
      </c>
      <c r="DO34" s="178"/>
      <c r="DP34" s="178"/>
      <c r="DQ34" s="245" t="s">
        <v>48</v>
      </c>
      <c r="DR34" s="245" t="s">
        <v>39</v>
      </c>
      <c r="DS34" s="210"/>
      <c r="DT34" s="211">
        <f>DT29/DT14</f>
        <v>129.868203477141</v>
      </c>
      <c r="DU34" s="210"/>
      <c r="DV34" s="210"/>
      <c r="DW34" s="211">
        <f>DW29/DW14</f>
        <v>96.63699523052463</v>
      </c>
      <c r="DX34" s="211">
        <f>DW34-DT34</f>
        <v>-33.231208246616376</v>
      </c>
      <c r="DY34" s="175">
        <f>DX34/DW34</f>
        <v>-0.34387667132389965</v>
      </c>
      <c r="DZ34" s="210"/>
      <c r="EA34" s="211">
        <f>EA29/EA14</f>
        <v>123.60827268170426</v>
      </c>
      <c r="EB34" s="172"/>
      <c r="EC34" s="176"/>
      <c r="ED34" s="212">
        <f>ED29/ED14</f>
        <v>107.07575266611977</v>
      </c>
      <c r="EE34" s="212">
        <f>ED34-EA34</f>
        <v>-16.532520015584495</v>
      </c>
      <c r="EF34" s="213">
        <f>EE34/ED34</f>
        <v>-0.1544002223092998</v>
      </c>
      <c r="EG34" s="178"/>
      <c r="EH34" s="211" t="e">
        <f>EH29/EH14</f>
        <v>#DIV/0!</v>
      </c>
      <c r="EI34" s="178"/>
      <c r="EJ34" s="178"/>
      <c r="EK34" s="245" t="s">
        <v>48</v>
      </c>
      <c r="EL34" s="245" t="s">
        <v>39</v>
      </c>
      <c r="EM34" s="210"/>
      <c r="EN34" s="211">
        <f>EN29/EN14</f>
        <v>76.02744218971212</v>
      </c>
      <c r="EO34" s="210"/>
      <c r="EP34" s="210"/>
      <c r="EQ34" s="211">
        <f>EQ29/EQ14</f>
        <v>95.3240813135262</v>
      </c>
      <c r="ER34" s="211">
        <f>EQ34-EN34</f>
        <v>19.296639123814074</v>
      </c>
      <c r="ES34" s="175">
        <f>ER34/EQ34</f>
        <v>0.20243194435146306</v>
      </c>
      <c r="ET34" s="210"/>
      <c r="EU34" s="211">
        <f>EU29/EU14</f>
        <v>115.27159500578799</v>
      </c>
      <c r="EV34" s="172"/>
      <c r="EW34" s="176"/>
      <c r="EX34" s="212">
        <f>EX29/EX14</f>
        <v>105.71319372677002</v>
      </c>
      <c r="EY34" s="212">
        <f>EX34-EU34</f>
        <v>-9.558401279017971</v>
      </c>
      <c r="EZ34" s="213">
        <f>EY34/EX34</f>
        <v>-0.0904182433814548</v>
      </c>
      <c r="FA34" s="178"/>
      <c r="FB34" s="211" t="e">
        <f>FB29/FB14</f>
        <v>#DIV/0!</v>
      </c>
      <c r="FC34" s="178"/>
      <c r="FD34" s="178"/>
      <c r="FE34" s="245" t="s">
        <v>48</v>
      </c>
      <c r="FF34" s="245" t="s">
        <v>39</v>
      </c>
      <c r="FG34" s="210"/>
      <c r="FH34" s="211">
        <f>FH29/FH14</f>
        <v>125.69481510621557</v>
      </c>
      <c r="FI34" s="210"/>
      <c r="FJ34" s="210"/>
      <c r="FK34" s="211">
        <f>FK29/FK14</f>
        <v>94.93031875463306</v>
      </c>
      <c r="FL34" s="211">
        <f>FK34-FH34</f>
        <v>-30.76449635158251</v>
      </c>
      <c r="FM34" s="175">
        <f>FL34/FK34</f>
        <v>-0.3240745080725967</v>
      </c>
      <c r="FN34" s="210"/>
      <c r="FO34" s="211">
        <f>FO29/FO14</f>
        <v>116.26283426861202</v>
      </c>
      <c r="FP34" s="172"/>
      <c r="FQ34" s="176"/>
      <c r="FR34" s="212">
        <f>FR29/FR14</f>
        <v>104.53822617124393</v>
      </c>
      <c r="FS34" s="212">
        <f>FR34-FO34</f>
        <v>-11.72460809736809</v>
      </c>
      <c r="FT34" s="213">
        <f>FS34/FR34</f>
        <v>-0.11215617986632015</v>
      </c>
      <c r="FU34" s="178"/>
      <c r="FV34" s="211" t="e">
        <f>FV29/FV14</f>
        <v>#DIV/0!</v>
      </c>
      <c r="FW34" s="178"/>
      <c r="FX34" s="178"/>
      <c r="FY34" s="245" t="s">
        <v>48</v>
      </c>
      <c r="FZ34" s="245" t="s">
        <v>39</v>
      </c>
      <c r="GA34" s="210"/>
      <c r="GB34" s="211">
        <f>GB29/GB14</f>
        <v>136.4022842261905</v>
      </c>
      <c r="GC34" s="210"/>
      <c r="GD34" s="210"/>
      <c r="GE34" s="211">
        <f>GE29/GE14</f>
        <v>103.77312390924956</v>
      </c>
      <c r="GF34" s="211">
        <f>GE34-GB34</f>
        <v>-32.629160316940926</v>
      </c>
      <c r="GG34" s="175">
        <f>GF34/GE34</f>
        <v>-0.31442785075522434</v>
      </c>
      <c r="GH34" s="210"/>
      <c r="GI34" s="211">
        <f>GI29/GI14</f>
        <v>118.1030287579033</v>
      </c>
      <c r="GJ34" s="172"/>
      <c r="GK34" s="176"/>
      <c r="GL34" s="212">
        <f>GL29/GL14</f>
        <v>104.4734023362413</v>
      </c>
      <c r="GM34" s="212">
        <f>GL34-GI34</f>
        <v>-13.629626421661996</v>
      </c>
      <c r="GN34" s="213">
        <f>GM34/GL34</f>
        <v>-0.1304602522448333</v>
      </c>
      <c r="GO34" s="178"/>
      <c r="GP34" s="211" t="e">
        <f>GP29/GP14</f>
        <v>#DIV/0!</v>
      </c>
      <c r="GQ34" s="178"/>
      <c r="GR34" s="178"/>
      <c r="GS34" s="245" t="s">
        <v>48</v>
      </c>
      <c r="GT34" s="245" t="s">
        <v>39</v>
      </c>
      <c r="GU34" s="210"/>
      <c r="GV34" s="211">
        <f>GV29/GV14</f>
        <v>150.22675468483814</v>
      </c>
      <c r="GW34" s="210"/>
      <c r="GX34" s="210"/>
      <c r="GY34" s="211">
        <f>GY29/GY14</f>
        <v>106.46881878209831</v>
      </c>
      <c r="GZ34" s="211">
        <f>GY34-GV34</f>
        <v>-43.75793590273983</v>
      </c>
      <c r="HA34" s="175">
        <f>GZ34/GY34</f>
        <v>-0.41099296867654644</v>
      </c>
      <c r="HB34" s="210"/>
      <c r="HC34" s="211">
        <f>HC29/HC14</f>
        <v>120.47747025121197</v>
      </c>
      <c r="HD34" s="172"/>
      <c r="HE34" s="176"/>
      <c r="HF34" s="212">
        <f>HF29/HF14</f>
        <v>104.65607092484385</v>
      </c>
      <c r="HG34" s="212">
        <f>HF34-HC34</f>
        <v>-15.821399326368123</v>
      </c>
      <c r="HH34" s="213">
        <f>HG34/HF34</f>
        <v>-0.15117517012204545</v>
      </c>
      <c r="HI34" s="178"/>
      <c r="HJ34" s="211" t="e">
        <f>HJ29/HJ14</f>
        <v>#DIV/0!</v>
      </c>
      <c r="HK34" s="178"/>
      <c r="HL34" s="178"/>
      <c r="HM34" s="245" t="s">
        <v>48</v>
      </c>
      <c r="HN34" s="245" t="s">
        <v>39</v>
      </c>
      <c r="HO34" s="210"/>
      <c r="HP34" s="211">
        <f>HP29/HP14</f>
        <v>106.2300443599493</v>
      </c>
      <c r="HQ34" s="210"/>
      <c r="HR34" s="210"/>
      <c r="HS34" s="211">
        <f>HS29/HS14</f>
        <v>114.09207547169811</v>
      </c>
      <c r="HT34" s="211">
        <f>HS34-HP34</f>
        <v>7.862031111748806</v>
      </c>
      <c r="HU34" s="175">
        <f>HT34/HS34</f>
        <v>0.06890952837210045</v>
      </c>
      <c r="HV34" s="210"/>
      <c r="HW34" s="211">
        <f>HW29/HW14</f>
        <v>119.18989004066204</v>
      </c>
      <c r="HX34" s="172"/>
      <c r="HY34" s="176"/>
      <c r="HZ34" s="212">
        <f>HZ29/HZ14</f>
        <v>105.4271765141236</v>
      </c>
      <c r="IA34" s="212">
        <f>HZ34-HW34</f>
        <v>-13.762713526538434</v>
      </c>
      <c r="IB34" s="213">
        <f>IA34/HZ34</f>
        <v>-0.13054237039815542</v>
      </c>
      <c r="IC34" s="178"/>
      <c r="ID34" s="211" t="e">
        <f>ID29/ID14</f>
        <v>#DIV/0!</v>
      </c>
      <c r="IE34" s="178"/>
      <c r="IF34" s="178"/>
    </row>
    <row r="35" spans="1:240" ht="13.5" thickBot="1">
      <c r="A35" s="242"/>
      <c r="B35" s="244" t="s">
        <v>40</v>
      </c>
      <c r="C35" s="214"/>
      <c r="D35" s="182">
        <f>D30/D15</f>
        <v>53.05855263157895</v>
      </c>
      <c r="E35" s="214"/>
      <c r="F35" s="214"/>
      <c r="G35" s="182">
        <f>G30/G15</f>
        <v>73.40983606557377</v>
      </c>
      <c r="H35" s="182">
        <f t="shared" si="50"/>
        <v>20.351283433994823</v>
      </c>
      <c r="I35" s="183">
        <f t="shared" si="51"/>
        <v>0.2772282915305235</v>
      </c>
      <c r="J35" s="214"/>
      <c r="K35" s="182">
        <f>K30/K15</f>
        <v>53.05855263157895</v>
      </c>
      <c r="L35" s="180"/>
      <c r="M35" s="184"/>
      <c r="N35" s="215">
        <f>N30/N15</f>
        <v>73.40983606557377</v>
      </c>
      <c r="O35" s="215">
        <f t="shared" si="49"/>
        <v>20.351283433994823</v>
      </c>
      <c r="P35" s="216">
        <f t="shared" si="48"/>
        <v>0.2772282915305235</v>
      </c>
      <c r="Q35" s="178"/>
      <c r="R35" s="182">
        <f>R30/R15</f>
        <v>53.05855263157895</v>
      </c>
      <c r="S35" s="178"/>
      <c r="T35" s="178"/>
      <c r="U35" s="242"/>
      <c r="V35" s="360" t="s">
        <v>40</v>
      </c>
      <c r="W35" s="214"/>
      <c r="X35" s="182">
        <f>X30/X15</f>
        <v>76.78176470588235</v>
      </c>
      <c r="Y35" s="214"/>
      <c r="Z35" s="214"/>
      <c r="AA35" s="182">
        <f>AA30/AA15</f>
        <v>59.17857142857143</v>
      </c>
      <c r="AB35" s="182">
        <f>AA35-X35</f>
        <v>-17.603193277310922</v>
      </c>
      <c r="AC35" s="183">
        <f>AB35/AA35</f>
        <v>-0.2974589087294543</v>
      </c>
      <c r="AD35" s="214"/>
      <c r="AE35" s="182">
        <f>AE30/AE15</f>
        <v>62.5851968503937</v>
      </c>
      <c r="AF35" s="180"/>
      <c r="AG35" s="184"/>
      <c r="AH35" s="215">
        <f>AH30/AH15</f>
        <v>67.07045454545455</v>
      </c>
      <c r="AI35" s="215">
        <f t="shared" si="52"/>
        <v>4.485257695060852</v>
      </c>
      <c r="AJ35" s="216">
        <f t="shared" si="53"/>
        <v>0.06687382283984869</v>
      </c>
      <c r="AK35" s="178"/>
      <c r="AL35" s="217" t="e">
        <f>AL30/AL15</f>
        <v>#DIV/0!</v>
      </c>
      <c r="AM35" s="178"/>
      <c r="AN35" s="178"/>
      <c r="AO35" s="242"/>
      <c r="AP35" s="244" t="s">
        <v>40</v>
      </c>
      <c r="AQ35" s="214"/>
      <c r="AR35" s="182">
        <f>AR30/AR15</f>
        <v>73.09111111111112</v>
      </c>
      <c r="AS35" s="214"/>
      <c r="AT35" s="214"/>
      <c r="AU35" s="182">
        <f>AU30/AU15</f>
        <v>74.09333333333333</v>
      </c>
      <c r="AV35" s="182">
        <f>AU35-AR35</f>
        <v>1.0022222222222155</v>
      </c>
      <c r="AW35" s="183">
        <f>AV35/AU35</f>
        <v>0.013526483114390168</v>
      </c>
      <c r="AX35" s="214"/>
      <c r="AY35" s="182">
        <f>AY30/AY15</f>
        <v>65.71955801104973</v>
      </c>
      <c r="AZ35" s="180"/>
      <c r="BA35" s="184"/>
      <c r="BB35" s="215">
        <f>BB30/BB15</f>
        <v>69.91756756756757</v>
      </c>
      <c r="BC35" s="215">
        <f>BB35-AY35</f>
        <v>4.198009556517846</v>
      </c>
      <c r="BD35" s="216">
        <f>BC35/BB35</f>
        <v>0.060042271242644926</v>
      </c>
      <c r="BE35" s="178"/>
      <c r="BF35" s="217" t="e">
        <f>BF30/BF15</f>
        <v>#DIV/0!</v>
      </c>
      <c r="BG35" s="178"/>
      <c r="BH35" s="178"/>
      <c r="BI35" s="242"/>
      <c r="BJ35" s="244" t="s">
        <v>40</v>
      </c>
      <c r="BK35" s="214"/>
      <c r="BL35" s="182">
        <f>BL30/BL15</f>
        <v>64.30169811320755</v>
      </c>
      <c r="BM35" s="214"/>
      <c r="BN35" s="214"/>
      <c r="BO35" s="182">
        <f>BO30/BO15</f>
        <v>45.38157894736842</v>
      </c>
      <c r="BP35" s="182">
        <f>BO35-BL35</f>
        <v>-18.920119165839132</v>
      </c>
      <c r="BQ35" s="183">
        <f>BP35/BO35</f>
        <v>-0.416911874921361</v>
      </c>
      <c r="BR35" s="214"/>
      <c r="BS35" s="182">
        <f>BS30/BS15</f>
        <v>65.3984188034188</v>
      </c>
      <c r="BT35" s="180"/>
      <c r="BU35" s="184"/>
      <c r="BV35" s="215">
        <f>BV30/BV15</f>
        <v>62.77298850574713</v>
      </c>
      <c r="BW35" s="215">
        <f>BV35-BS35</f>
        <v>-2.6254302976716772</v>
      </c>
      <c r="BX35" s="216">
        <f>BW35/BV35</f>
        <v>-0.04182420433004091</v>
      </c>
      <c r="BY35" s="178"/>
      <c r="BZ35" s="217" t="e">
        <f>BZ30/BZ15</f>
        <v>#DIV/0!</v>
      </c>
      <c r="CA35" s="178"/>
      <c r="CB35" s="178"/>
      <c r="CC35" s="242"/>
      <c r="CD35" s="244" t="s">
        <v>40</v>
      </c>
      <c r="CE35" s="214"/>
      <c r="CF35" s="182">
        <f>CF30/CF15</f>
        <v>64.78877192982456</v>
      </c>
      <c r="CG35" s="214"/>
      <c r="CH35" s="214"/>
      <c r="CI35" s="182">
        <f>CI30/CI15</f>
        <v>56.53731343283582</v>
      </c>
      <c r="CJ35" s="182">
        <f>CI35-CF35</f>
        <v>-8.25145849698874</v>
      </c>
      <c r="CK35" s="183">
        <f>CJ35/CI35</f>
        <v>-0.14594712758665404</v>
      </c>
      <c r="CL35" s="214"/>
      <c r="CM35" s="182">
        <f>CM30/CM15</f>
        <v>65.27900343642611</v>
      </c>
      <c r="CN35" s="180"/>
      <c r="CO35" s="184"/>
      <c r="CP35" s="215">
        <f>CP30/CP15</f>
        <v>61.49923780487805</v>
      </c>
      <c r="CQ35" s="215">
        <f>CP35-CM35</f>
        <v>-3.7797656315480594</v>
      </c>
      <c r="CR35" s="216">
        <f>CQ35/CP35</f>
        <v>-0.06146036546892379</v>
      </c>
      <c r="CS35" s="178"/>
      <c r="CT35" s="217" t="e">
        <f>CT30/CT15</f>
        <v>#DIV/0!</v>
      </c>
      <c r="CU35" s="178"/>
      <c r="CV35" s="178"/>
      <c r="CW35" s="242"/>
      <c r="CX35" s="244" t="s">
        <v>40</v>
      </c>
      <c r="CY35" s="214"/>
      <c r="CZ35" s="182">
        <f>CZ30/CZ15</f>
        <v>60.29524590163935</v>
      </c>
      <c r="DA35" s="214"/>
      <c r="DB35" s="214"/>
      <c r="DC35" s="182">
        <f>DC30/DC15</f>
        <v>63.8125</v>
      </c>
      <c r="DD35" s="182">
        <f>DC35-CZ35</f>
        <v>3.5172540983606524</v>
      </c>
      <c r="DE35" s="183">
        <f>DD35/DC35</f>
        <v>0.05511857548851169</v>
      </c>
      <c r="DF35" s="214"/>
      <c r="DG35" s="182">
        <f>DG30/DG15</f>
        <v>64.4153409090909</v>
      </c>
      <c r="DH35" s="180"/>
      <c r="DI35" s="184"/>
      <c r="DJ35" s="215">
        <f>DJ30/DJ15</f>
        <v>61.794547872340424</v>
      </c>
      <c r="DK35" s="215">
        <f>DJ35-DG35</f>
        <v>-2.6207930367504773</v>
      </c>
      <c r="DL35" s="216">
        <f>DK35/DJ35</f>
        <v>-0.04241139594005442</v>
      </c>
      <c r="DM35" s="178"/>
      <c r="DN35" s="217" t="e">
        <f>DN30/DN15</f>
        <v>#DIV/0!</v>
      </c>
      <c r="DO35" s="178"/>
      <c r="DP35" s="178"/>
      <c r="DQ35" s="242"/>
      <c r="DR35" s="244" t="s">
        <v>40</v>
      </c>
      <c r="DS35" s="214"/>
      <c r="DT35" s="182">
        <f>DT30/DT15</f>
        <v>66.62236842105263</v>
      </c>
      <c r="DU35" s="214"/>
      <c r="DV35" s="214"/>
      <c r="DW35" s="182">
        <f>DW30/DW15</f>
        <v>83.51961538461539</v>
      </c>
      <c r="DX35" s="182">
        <f>DW35-DT35</f>
        <v>16.897246963562765</v>
      </c>
      <c r="DY35" s="183">
        <f>DX35/DW35</f>
        <v>0.20231471236726142</v>
      </c>
      <c r="DZ35" s="214"/>
      <c r="EA35" s="182">
        <f>EA30/EA15</f>
        <v>64.8072429906542</v>
      </c>
      <c r="EB35" s="180"/>
      <c r="EC35" s="184"/>
      <c r="ED35" s="215">
        <f>ED30/ED15</f>
        <v>64.43404205607477</v>
      </c>
      <c r="EE35" s="215">
        <f>ED35-EA35</f>
        <v>-0.3732009345794296</v>
      </c>
      <c r="EF35" s="216">
        <f>EE35/ED35</f>
        <v>-0.005791983905877663</v>
      </c>
      <c r="EG35" s="178"/>
      <c r="EH35" s="217" t="e">
        <f>EH30/EH15</f>
        <v>#DIV/0!</v>
      </c>
      <c r="EI35" s="178"/>
      <c r="EJ35" s="178"/>
      <c r="EK35" s="242"/>
      <c r="EL35" s="244" t="s">
        <v>40</v>
      </c>
      <c r="EM35" s="214"/>
      <c r="EN35" s="182">
        <f>EN30/EN15</f>
        <v>90.85061538461538</v>
      </c>
      <c r="EO35" s="214"/>
      <c r="EP35" s="214"/>
      <c r="EQ35" s="182">
        <f>EQ30/EQ15</f>
        <v>64.03583333333333</v>
      </c>
      <c r="ER35" s="182">
        <f>EQ35-EN35</f>
        <v>-26.81478205128205</v>
      </c>
      <c r="ES35" s="183">
        <f>ER35/EQ35</f>
        <v>-0.4187465151222423</v>
      </c>
      <c r="ET35" s="214"/>
      <c r="EU35" s="182">
        <f>EU30/EU15</f>
        <v>68.24095334685597</v>
      </c>
      <c r="EV35" s="180"/>
      <c r="EW35" s="184"/>
      <c r="EX35" s="215">
        <f>EX30/EX15</f>
        <v>64.38508196721313</v>
      </c>
      <c r="EY35" s="215">
        <f>EX35-EU35</f>
        <v>-3.855871379642849</v>
      </c>
      <c r="EZ35" s="216">
        <f>EY35/EX35</f>
        <v>-0.05988765195028218</v>
      </c>
      <c r="FA35" s="178"/>
      <c r="FB35" s="217" t="e">
        <f>FB30/FB15</f>
        <v>#DIV/0!</v>
      </c>
      <c r="FC35" s="178"/>
      <c r="FD35" s="178"/>
      <c r="FE35" s="242"/>
      <c r="FF35" s="244" t="s">
        <v>40</v>
      </c>
      <c r="FG35" s="214"/>
      <c r="FH35" s="182">
        <f>FH30/FH15</f>
        <v>65.8036170212766</v>
      </c>
      <c r="FI35" s="214"/>
      <c r="FJ35" s="214"/>
      <c r="FK35" s="182">
        <f>FK30/FK15</f>
        <v>70.14814814814815</v>
      </c>
      <c r="FL35" s="182">
        <f>FK35-FH35</f>
        <v>4.3445311268715585</v>
      </c>
      <c r="FM35" s="183">
        <f>FL35/FK35</f>
        <v>0.06193365386775716</v>
      </c>
      <c r="FN35" s="214"/>
      <c r="FO35" s="182">
        <f>FO30/FO15</f>
        <v>68.0288148148148</v>
      </c>
      <c r="FP35" s="180"/>
      <c r="FQ35" s="184"/>
      <c r="FR35" s="215">
        <f>FR30/FR15</f>
        <v>64.95926199261993</v>
      </c>
      <c r="FS35" s="215">
        <f>FR35-FO35</f>
        <v>-3.069552822194865</v>
      </c>
      <c r="FT35" s="216">
        <f>FS35/FR35</f>
        <v>-0.04725350516672432</v>
      </c>
      <c r="FU35" s="178"/>
      <c r="FV35" s="217" t="e">
        <f>FV30/FV15</f>
        <v>#DIV/0!</v>
      </c>
      <c r="FW35" s="178"/>
      <c r="FX35" s="178"/>
      <c r="FY35" s="242"/>
      <c r="FZ35" s="244" t="s">
        <v>40</v>
      </c>
      <c r="GA35" s="214"/>
      <c r="GB35" s="182">
        <f>GB30/GB15</f>
        <v>91.82333333333334</v>
      </c>
      <c r="GC35" s="214"/>
      <c r="GD35" s="214"/>
      <c r="GE35" s="182">
        <f>GE30/GE15</f>
        <v>179.97297297297297</v>
      </c>
      <c r="GF35" s="182">
        <f>GE35-GB35</f>
        <v>88.14963963963963</v>
      </c>
      <c r="GG35" s="183">
        <f>GF35/GE35</f>
        <v>0.4897937628272513</v>
      </c>
      <c r="GH35" s="214"/>
      <c r="GI35" s="182">
        <f>GI30/GI15</f>
        <v>69.39917975567188</v>
      </c>
      <c r="GJ35" s="180"/>
      <c r="GK35" s="184"/>
      <c r="GL35" s="215">
        <f>GL30/GL15</f>
        <v>72.30901554404144</v>
      </c>
      <c r="GM35" s="215">
        <f>GL35-GI35</f>
        <v>2.9098357883695627</v>
      </c>
      <c r="GN35" s="216">
        <f>GM35/GL35</f>
        <v>0.040241673413424654</v>
      </c>
      <c r="GO35" s="178"/>
      <c r="GP35" s="217" t="e">
        <f>GP30/GP15</f>
        <v>#DIV/0!</v>
      </c>
      <c r="GQ35" s="178"/>
      <c r="GR35" s="178"/>
      <c r="GS35" s="242"/>
      <c r="GT35" s="244" t="s">
        <v>40</v>
      </c>
      <c r="GU35" s="214"/>
      <c r="GV35" s="182">
        <f>GV30/GV15</f>
        <v>90.9125</v>
      </c>
      <c r="GW35" s="214"/>
      <c r="GX35" s="214"/>
      <c r="GY35" s="182">
        <f>GY30/GY15</f>
        <v>65.60714285714286</v>
      </c>
      <c r="GZ35" s="182">
        <f>GY35-GV35</f>
        <v>-25.305357142857133</v>
      </c>
      <c r="HA35" s="183">
        <f>GZ35/GY35</f>
        <v>-0.38571039738704394</v>
      </c>
      <c r="HB35" s="214"/>
      <c r="HC35" s="182">
        <f>HC30/HC15</f>
        <v>70.67090311986861</v>
      </c>
      <c r="HD35" s="180"/>
      <c r="HE35" s="184"/>
      <c r="HF35" s="215">
        <f>HF30/HF15</f>
        <v>71.7179842519685</v>
      </c>
      <c r="HG35" s="215">
        <f>HF35-HC35</f>
        <v>1.0470811320998905</v>
      </c>
      <c r="HH35" s="216">
        <f>HG35/HF35</f>
        <v>0.014599979949536164</v>
      </c>
      <c r="HI35" s="178"/>
      <c r="HJ35" s="217" t="e">
        <f>HJ30/HJ15</f>
        <v>#DIV/0!</v>
      </c>
      <c r="HK35" s="178"/>
      <c r="HL35" s="178"/>
      <c r="HM35" s="242"/>
      <c r="HN35" s="244" t="s">
        <v>40</v>
      </c>
      <c r="HO35" s="214"/>
      <c r="HP35" s="182">
        <f>HP30/HP15</f>
        <v>79.77211538461538</v>
      </c>
      <c r="HQ35" s="214"/>
      <c r="HR35" s="214"/>
      <c r="HS35" s="182">
        <f>HS30/HS15</f>
        <v>55.66265060240964</v>
      </c>
      <c r="HT35" s="182">
        <f>HS35-HP35</f>
        <v>-24.109464782205734</v>
      </c>
      <c r="HU35" s="183">
        <f>HT35/HS35</f>
        <v>-0.43313540626040603</v>
      </c>
      <c r="HV35" s="214"/>
      <c r="HW35" s="182">
        <f>HW30/HW15</f>
        <v>71.38688350983357</v>
      </c>
      <c r="HX35" s="180"/>
      <c r="HY35" s="184"/>
      <c r="HZ35" s="215">
        <f>HZ30/HZ15</f>
        <v>69.86200557103064</v>
      </c>
      <c r="IA35" s="215">
        <f>HZ35-HW35</f>
        <v>-1.5248779388029305</v>
      </c>
      <c r="IB35" s="216">
        <f>IA35/HZ35</f>
        <v>-0.021826999187026557</v>
      </c>
      <c r="IC35" s="178"/>
      <c r="ID35" s="217" t="e">
        <f>ID30/ID15</f>
        <v>#DIV/0!</v>
      </c>
      <c r="IE35" s="178"/>
      <c r="IF35" s="178"/>
    </row>
    <row r="36" spans="1:240" ht="13.5" thickBot="1">
      <c r="A36" s="242"/>
      <c r="B36" s="244" t="s">
        <v>211</v>
      </c>
      <c r="C36" s="214"/>
      <c r="D36" s="182">
        <f>D31/D16</f>
        <v>164.11936507936508</v>
      </c>
      <c r="E36" s="214"/>
      <c r="F36" s="214"/>
      <c r="G36" s="182">
        <f>G31/G16</f>
        <v>157.36285714285714</v>
      </c>
      <c r="H36" s="182">
        <f t="shared" si="50"/>
        <v>-6.756507936507944</v>
      </c>
      <c r="I36" s="183">
        <f t="shared" si="51"/>
        <v>-0.04293584940679014</v>
      </c>
      <c r="J36" s="214"/>
      <c r="K36" s="182">
        <f>K31/K16</f>
        <v>164.11936507936508</v>
      </c>
      <c r="L36" s="180"/>
      <c r="M36" s="184"/>
      <c r="N36" s="215">
        <f>N31/N16</f>
        <v>157.36285714285714</v>
      </c>
      <c r="O36" s="215">
        <f t="shared" si="49"/>
        <v>-6.756507936507944</v>
      </c>
      <c r="P36" s="216">
        <f t="shared" si="48"/>
        <v>-0.04293584940679014</v>
      </c>
      <c r="Q36" s="178"/>
      <c r="R36" s="217">
        <f>R31/R16</f>
        <v>164.11936507936508</v>
      </c>
      <c r="S36" s="178"/>
      <c r="T36" s="178"/>
      <c r="U36" s="242"/>
      <c r="V36" s="244" t="s">
        <v>211</v>
      </c>
      <c r="W36" s="214"/>
      <c r="X36" s="182">
        <f>X31/X16</f>
        <v>198.421625</v>
      </c>
      <c r="Y36" s="214"/>
      <c r="Z36" s="214"/>
      <c r="AA36" s="182">
        <v>0</v>
      </c>
      <c r="AB36" s="182"/>
      <c r="AC36" s="183"/>
      <c r="AD36" s="214"/>
      <c r="AE36" s="182">
        <f>AE31/AE16</f>
        <v>183.30944055944056</v>
      </c>
      <c r="AF36" s="180"/>
      <c r="AG36" s="184"/>
      <c r="AH36" s="215">
        <f>AH31/AH16</f>
        <v>157.36285714285714</v>
      </c>
      <c r="AI36" s="215">
        <f t="shared" si="52"/>
        <v>-25.946583416583422</v>
      </c>
      <c r="AJ36" s="216">
        <f t="shared" si="53"/>
        <v>-0.16488378444367338</v>
      </c>
      <c r="AK36" s="178"/>
      <c r="AL36" s="217"/>
      <c r="AM36" s="178"/>
      <c r="AN36" s="178"/>
      <c r="AO36" s="242"/>
      <c r="AP36" s="244"/>
      <c r="AQ36" s="214"/>
      <c r="AR36" s="182"/>
      <c r="AS36" s="214"/>
      <c r="AT36" s="214"/>
      <c r="AU36" s="182"/>
      <c r="AV36" s="182"/>
      <c r="AW36" s="183"/>
      <c r="AX36" s="214"/>
      <c r="AY36" s="182"/>
      <c r="AZ36" s="180"/>
      <c r="BA36" s="184"/>
      <c r="BB36" s="215"/>
      <c r="BC36" s="215"/>
      <c r="BD36" s="216"/>
      <c r="BE36" s="178"/>
      <c r="BF36" s="217"/>
      <c r="BG36" s="178"/>
      <c r="BH36" s="178"/>
      <c r="BI36" s="242"/>
      <c r="BJ36" s="244"/>
      <c r="BK36" s="214"/>
      <c r="BL36" s="182"/>
      <c r="BM36" s="214"/>
      <c r="BN36" s="214"/>
      <c r="BO36" s="182"/>
      <c r="BP36" s="182"/>
      <c r="BQ36" s="183"/>
      <c r="BR36" s="214"/>
      <c r="BS36" s="182"/>
      <c r="BT36" s="180"/>
      <c r="BU36" s="184"/>
      <c r="BV36" s="215"/>
      <c r="BW36" s="215"/>
      <c r="BX36" s="216"/>
      <c r="BY36" s="178"/>
      <c r="BZ36" s="217"/>
      <c r="CA36" s="178"/>
      <c r="CB36" s="178"/>
      <c r="CC36" s="242"/>
      <c r="CD36" s="244"/>
      <c r="CE36" s="214"/>
      <c r="CF36" s="182"/>
      <c r="CG36" s="214"/>
      <c r="CH36" s="214"/>
      <c r="CI36" s="182"/>
      <c r="CJ36" s="182"/>
      <c r="CK36" s="183"/>
      <c r="CL36" s="214"/>
      <c r="CM36" s="182"/>
      <c r="CN36" s="180"/>
      <c r="CO36" s="184"/>
      <c r="CP36" s="215"/>
      <c r="CQ36" s="215"/>
      <c r="CR36" s="216"/>
      <c r="CS36" s="178"/>
      <c r="CT36" s="217"/>
      <c r="CU36" s="178"/>
      <c r="CV36" s="178"/>
      <c r="CW36" s="242"/>
      <c r="CX36" s="244"/>
      <c r="CY36" s="214"/>
      <c r="CZ36" s="182"/>
      <c r="DA36" s="214"/>
      <c r="DB36" s="214"/>
      <c r="DC36" s="182"/>
      <c r="DD36" s="182"/>
      <c r="DE36" s="183"/>
      <c r="DF36" s="214"/>
      <c r="DG36" s="182"/>
      <c r="DH36" s="180"/>
      <c r="DI36" s="184"/>
      <c r="DJ36" s="215"/>
      <c r="DK36" s="215"/>
      <c r="DL36" s="216"/>
      <c r="DM36" s="178"/>
      <c r="DN36" s="217"/>
      <c r="DO36" s="178"/>
      <c r="DP36" s="178"/>
      <c r="DQ36" s="242"/>
      <c r="DR36" s="244"/>
      <c r="DS36" s="214"/>
      <c r="DT36" s="182"/>
      <c r="DU36" s="214"/>
      <c r="DV36" s="214"/>
      <c r="DW36" s="182"/>
      <c r="DX36" s="182"/>
      <c r="DY36" s="183"/>
      <c r="DZ36" s="214"/>
      <c r="EA36" s="182"/>
      <c r="EB36" s="180"/>
      <c r="EC36" s="184"/>
      <c r="ED36" s="215"/>
      <c r="EE36" s="215"/>
      <c r="EF36" s="216"/>
      <c r="EG36" s="178"/>
      <c r="EH36" s="217"/>
      <c r="EI36" s="178"/>
      <c r="EJ36" s="178"/>
      <c r="EK36" s="242"/>
      <c r="EL36" s="244"/>
      <c r="EM36" s="214"/>
      <c r="EN36" s="182"/>
      <c r="EO36" s="214"/>
      <c r="EP36" s="214"/>
      <c r="EQ36" s="182"/>
      <c r="ER36" s="182"/>
      <c r="ES36" s="183"/>
      <c r="ET36" s="214"/>
      <c r="EU36" s="182"/>
      <c r="EV36" s="180"/>
      <c r="EW36" s="184"/>
      <c r="EX36" s="215"/>
      <c r="EY36" s="215"/>
      <c r="EZ36" s="216"/>
      <c r="FA36" s="178"/>
      <c r="FB36" s="217"/>
      <c r="FC36" s="178"/>
      <c r="FD36" s="178"/>
      <c r="FE36" s="242"/>
      <c r="FF36" s="244"/>
      <c r="FG36" s="214"/>
      <c r="FH36" s="182"/>
      <c r="FI36" s="214"/>
      <c r="FJ36" s="214"/>
      <c r="FK36" s="182"/>
      <c r="FL36" s="182"/>
      <c r="FM36" s="183"/>
      <c r="FN36" s="214"/>
      <c r="FO36" s="182"/>
      <c r="FP36" s="180"/>
      <c r="FQ36" s="184"/>
      <c r="FR36" s="215"/>
      <c r="FS36" s="215"/>
      <c r="FT36" s="216"/>
      <c r="FU36" s="178"/>
      <c r="FV36" s="217"/>
      <c r="FW36" s="178"/>
      <c r="FX36" s="178"/>
      <c r="FY36" s="242"/>
      <c r="FZ36" s="244"/>
      <c r="GA36" s="214"/>
      <c r="GB36" s="182"/>
      <c r="GC36" s="214"/>
      <c r="GD36" s="214"/>
      <c r="GE36" s="182"/>
      <c r="GF36" s="182"/>
      <c r="GG36" s="183"/>
      <c r="GH36" s="214"/>
      <c r="GI36" s="182"/>
      <c r="GJ36" s="180"/>
      <c r="GK36" s="184"/>
      <c r="GL36" s="215"/>
      <c r="GM36" s="215"/>
      <c r="GN36" s="216"/>
      <c r="GO36" s="178"/>
      <c r="GP36" s="217"/>
      <c r="GQ36" s="178"/>
      <c r="GR36" s="178"/>
      <c r="GS36" s="242"/>
      <c r="GT36" s="244"/>
      <c r="GU36" s="214"/>
      <c r="GV36" s="182"/>
      <c r="GW36" s="214"/>
      <c r="GX36" s="214"/>
      <c r="GY36" s="182"/>
      <c r="GZ36" s="182"/>
      <c r="HA36" s="183"/>
      <c r="HB36" s="214"/>
      <c r="HC36" s="182"/>
      <c r="HD36" s="180"/>
      <c r="HE36" s="184"/>
      <c r="HF36" s="215"/>
      <c r="HG36" s="215"/>
      <c r="HH36" s="216"/>
      <c r="HI36" s="178"/>
      <c r="HJ36" s="217"/>
      <c r="HK36" s="178"/>
      <c r="HL36" s="178"/>
      <c r="HM36" s="242"/>
      <c r="HN36" s="244"/>
      <c r="HO36" s="214"/>
      <c r="HP36" s="182"/>
      <c r="HQ36" s="214"/>
      <c r="HR36" s="214"/>
      <c r="HS36" s="182"/>
      <c r="HT36" s="182"/>
      <c r="HU36" s="183"/>
      <c r="HV36" s="214"/>
      <c r="HW36" s="182"/>
      <c r="HX36" s="180"/>
      <c r="HY36" s="184"/>
      <c r="HZ36" s="215"/>
      <c r="IA36" s="215"/>
      <c r="IB36" s="216"/>
      <c r="IC36" s="178"/>
      <c r="ID36" s="217"/>
      <c r="IE36" s="178"/>
      <c r="IF36" s="178"/>
    </row>
    <row r="37" spans="1:240" ht="13.5" thickBot="1">
      <c r="A37" s="245" t="s">
        <v>49</v>
      </c>
      <c r="B37" s="233"/>
      <c r="C37" s="218"/>
      <c r="D37" s="191">
        <f>D32/D22</f>
        <v>225.5221022727273</v>
      </c>
      <c r="E37" s="218"/>
      <c r="F37" s="218"/>
      <c r="G37" s="191">
        <f>G32/G22</f>
        <v>327.0478726483357</v>
      </c>
      <c r="H37" s="191">
        <f t="shared" si="50"/>
        <v>101.52577037560843</v>
      </c>
      <c r="I37" s="192">
        <f t="shared" si="51"/>
        <v>0.31043091506293297</v>
      </c>
      <c r="J37" s="218"/>
      <c r="K37" s="191">
        <f>K32/K22</f>
        <v>240.84884708737866</v>
      </c>
      <c r="L37" s="189"/>
      <c r="M37" s="193"/>
      <c r="N37" s="219">
        <f>N32/N22</f>
        <v>327.0478726483357</v>
      </c>
      <c r="O37" s="219">
        <f t="shared" si="49"/>
        <v>86.19902556095707</v>
      </c>
      <c r="P37" s="220">
        <f t="shared" si="48"/>
        <v>0.26356699666915173</v>
      </c>
      <c r="Q37" s="178"/>
      <c r="R37" s="191">
        <f>R32/R22</f>
        <v>228.3008859223301</v>
      </c>
      <c r="S37" s="178"/>
      <c r="T37" s="178"/>
      <c r="U37" s="245" t="s">
        <v>49</v>
      </c>
      <c r="V37" s="233"/>
      <c r="W37" s="218"/>
      <c r="X37" s="191">
        <f>X32/X22</f>
        <v>151.81528761061946</v>
      </c>
      <c r="Y37" s="218"/>
      <c r="Z37" s="218"/>
      <c r="AA37" s="191">
        <f>AA32/AA22</f>
        <v>150.503887113951</v>
      </c>
      <c r="AB37" s="191">
        <f>AA37-X37</f>
        <v>-1.3114004966684547</v>
      </c>
      <c r="AC37" s="192">
        <f>AB37/AA37</f>
        <v>-0.008713399512901312</v>
      </c>
      <c r="AD37" s="218"/>
      <c r="AE37" s="191">
        <f>AE32/AE22</f>
        <v>206.0810082063306</v>
      </c>
      <c r="AF37" s="189"/>
      <c r="AG37" s="193"/>
      <c r="AH37" s="219">
        <f>AH32/AH22</f>
        <v>228.47944305381728</v>
      </c>
      <c r="AI37" s="219">
        <f t="shared" si="52"/>
        <v>22.39843484748667</v>
      </c>
      <c r="AJ37" s="220">
        <f t="shared" si="53"/>
        <v>0.09803260436962297</v>
      </c>
      <c r="AK37" s="178"/>
      <c r="AL37" s="191" t="e">
        <f>AL32/AL22</f>
        <v>#DIV/0!</v>
      </c>
      <c r="AM37" s="178"/>
      <c r="AN37" s="178"/>
      <c r="AO37" s="245" t="s">
        <v>49</v>
      </c>
      <c r="AP37" s="233"/>
      <c r="AQ37" s="218"/>
      <c r="AR37" s="191">
        <f>AR32/AR22</f>
        <v>194.29804935370154</v>
      </c>
      <c r="AS37" s="218"/>
      <c r="AT37" s="218"/>
      <c r="AU37" s="191">
        <f>AU32/AU22</f>
        <v>182.67751780264496</v>
      </c>
      <c r="AV37" s="191">
        <f>AU37-AR37</f>
        <v>-11.620531551056587</v>
      </c>
      <c r="AW37" s="192">
        <f>AV37/AU37</f>
        <v>-0.06361226981204544</v>
      </c>
      <c r="AX37" s="218"/>
      <c r="AY37" s="191">
        <f>AY32/AY22</f>
        <v>191.90793508017205</v>
      </c>
      <c r="AZ37" s="189"/>
      <c r="BA37" s="193"/>
      <c r="BB37" s="219">
        <f>BB32/BB22</f>
        <v>211.03531576908176</v>
      </c>
      <c r="BC37" s="219">
        <f>BB37-AY37</f>
        <v>19.12738068890971</v>
      </c>
      <c r="BD37" s="220">
        <f>BC37/BB37</f>
        <v>0.09063592327759586</v>
      </c>
      <c r="BE37" s="178"/>
      <c r="BF37" s="191" t="e">
        <f>BF32/BF22</f>
        <v>#DIV/0!</v>
      </c>
      <c r="BG37" s="178"/>
      <c r="BH37" s="178"/>
      <c r="BI37" s="245" t="s">
        <v>49</v>
      </c>
      <c r="BJ37" s="233"/>
      <c r="BK37" s="218"/>
      <c r="BL37" s="191">
        <f>BL32/BL22</f>
        <v>194.61528375733852</v>
      </c>
      <c r="BM37" s="218"/>
      <c r="BN37" s="218"/>
      <c r="BO37" s="191">
        <f>BO32/BO22</f>
        <v>150.9977142857143</v>
      </c>
      <c r="BP37" s="191">
        <f>BO37-BL37</f>
        <v>-43.61756947162422</v>
      </c>
      <c r="BQ37" s="192">
        <f>BP37/BO37</f>
        <v>-0.28886244853410226</v>
      </c>
      <c r="BR37" s="218"/>
      <c r="BS37" s="191">
        <f>BS32/BS22</f>
        <v>192.68103101424975</v>
      </c>
      <c r="BT37" s="189"/>
      <c r="BU37" s="193"/>
      <c r="BV37" s="219">
        <f>BV32/BV22</f>
        <v>195.8348234953704</v>
      </c>
      <c r="BW37" s="219">
        <f>BV37-BS37</f>
        <v>3.1537924811206324</v>
      </c>
      <c r="BX37" s="220">
        <f>BW37/BV37</f>
        <v>0.016104349700579116</v>
      </c>
      <c r="BY37" s="178"/>
      <c r="BZ37" s="191" t="e">
        <f>BZ32/BZ22</f>
        <v>#DIV/0!</v>
      </c>
      <c r="CA37" s="178"/>
      <c r="CB37" s="178"/>
      <c r="CC37" s="245" t="s">
        <v>49</v>
      </c>
      <c r="CD37" s="233"/>
      <c r="CE37" s="218"/>
      <c r="CF37" s="191">
        <f>CF32/CF22</f>
        <v>185.3745731707317</v>
      </c>
      <c r="CG37" s="218"/>
      <c r="CH37" s="218"/>
      <c r="CI37" s="191">
        <f>CI32/CI22</f>
        <v>112.36165237724084</v>
      </c>
      <c r="CJ37" s="191">
        <f>CI37-CF37</f>
        <v>-73.01292079349086</v>
      </c>
      <c r="CK37" s="192">
        <f>CJ37/CI37</f>
        <v>-0.6498028397478411</v>
      </c>
      <c r="CL37" s="218"/>
      <c r="CM37" s="191">
        <f>CM32/CM22</f>
        <v>191.10541091387242</v>
      </c>
      <c r="CN37" s="189"/>
      <c r="CO37" s="193"/>
      <c r="CP37" s="219">
        <f>CP32/CP22</f>
        <v>173.23594640219457</v>
      </c>
      <c r="CQ37" s="219">
        <f>CP37-CM37</f>
        <v>-17.869464511677847</v>
      </c>
      <c r="CR37" s="220">
        <f>CQ37/CP37</f>
        <v>-0.10315101965149351</v>
      </c>
      <c r="CS37" s="178"/>
      <c r="CT37" s="191" t="e">
        <f>CT32/CT22</f>
        <v>#DIV/0!</v>
      </c>
      <c r="CU37" s="178"/>
      <c r="CV37" s="178"/>
      <c r="CW37" s="245" t="s">
        <v>49</v>
      </c>
      <c r="CX37" s="233"/>
      <c r="CY37" s="218"/>
      <c r="CZ37" s="191">
        <f>CZ32/CZ22</f>
        <v>173.9650191204589</v>
      </c>
      <c r="DA37" s="218"/>
      <c r="DB37" s="218"/>
      <c r="DC37" s="191">
        <f>DC32/DC22</f>
        <v>132.03276955602536</v>
      </c>
      <c r="DD37" s="191">
        <f>DC37-CZ37</f>
        <v>-41.93224956443353</v>
      </c>
      <c r="DE37" s="192">
        <f>DD37/DC37</f>
        <v>-0.3175897143219468</v>
      </c>
      <c r="DF37" s="218"/>
      <c r="DG37" s="191">
        <f>DG32/DG22</f>
        <v>187.9089677304332</v>
      </c>
      <c r="DH37" s="189"/>
      <c r="DI37" s="193"/>
      <c r="DJ37" s="219">
        <f>DJ32/DJ22</f>
        <v>166.3796218117854</v>
      </c>
      <c r="DK37" s="219">
        <f>DJ37-DG37</f>
        <v>-21.529345918647806</v>
      </c>
      <c r="DL37" s="220">
        <f>DK37/DJ37</f>
        <v>-0.12939893530352278</v>
      </c>
      <c r="DM37" s="178"/>
      <c r="DN37" s="191" t="e">
        <f>DN32/DN22</f>
        <v>#DIV/0!</v>
      </c>
      <c r="DO37" s="178"/>
      <c r="DP37" s="178"/>
      <c r="DQ37" s="245" t="s">
        <v>49</v>
      </c>
      <c r="DR37" s="233"/>
      <c r="DS37" s="218"/>
      <c r="DT37" s="191">
        <f>DT32/DT22</f>
        <v>197.46764087870105</v>
      </c>
      <c r="DU37" s="218"/>
      <c r="DV37" s="218"/>
      <c r="DW37" s="191">
        <f>DW32/DW22</f>
        <v>141.4745617977528</v>
      </c>
      <c r="DX37" s="191">
        <f>DW37-DT37</f>
        <v>-55.993079080948235</v>
      </c>
      <c r="DY37" s="192">
        <f>DX37/DW37</f>
        <v>-0.39578195803846367</v>
      </c>
      <c r="DZ37" s="218"/>
      <c r="EA37" s="191">
        <f>EA32/EA22</f>
        <v>189.41256310096153</v>
      </c>
      <c r="EB37" s="189"/>
      <c r="EC37" s="193"/>
      <c r="ED37" s="219">
        <f>ED32/ED22</f>
        <v>163.00844258555134</v>
      </c>
      <c r="EE37" s="219">
        <f>ED37-EA37</f>
        <v>-26.4041205154102</v>
      </c>
      <c r="EF37" s="220">
        <f>EE37/ED37</f>
        <v>-0.16198007966092054</v>
      </c>
      <c r="EG37" s="178"/>
      <c r="EH37" s="191" t="e">
        <f>EH32/EH22</f>
        <v>#DIV/0!</v>
      </c>
      <c r="EI37" s="178"/>
      <c r="EJ37" s="178"/>
      <c r="EK37" s="245" t="s">
        <v>49</v>
      </c>
      <c r="EL37" s="233"/>
      <c r="EM37" s="218"/>
      <c r="EN37" s="191">
        <f>EN32/EN22</f>
        <v>197.87611374407584</v>
      </c>
      <c r="EO37" s="218"/>
      <c r="EP37" s="218"/>
      <c r="EQ37" s="191">
        <f>EQ32/EQ22</f>
        <v>152.99470802919708</v>
      </c>
      <c r="ER37" s="191">
        <f>EQ37-EN37</f>
        <v>-44.88140571487875</v>
      </c>
      <c r="ES37" s="192">
        <f>ER37/EQ37</f>
        <v>-0.29335266750738664</v>
      </c>
      <c r="ET37" s="218"/>
      <c r="EU37" s="191">
        <f>EU32/EU22</f>
        <v>190.36499466666666</v>
      </c>
      <c r="EV37" s="189"/>
      <c r="EW37" s="193"/>
      <c r="EX37" s="219">
        <f>EX32/EX22</f>
        <v>161.89565499526833</v>
      </c>
      <c r="EY37" s="219">
        <f>EX37-EU37</f>
        <v>-28.46933967139833</v>
      </c>
      <c r="EZ37" s="220">
        <f>EY37/EX37</f>
        <v>-0.17584993045199634</v>
      </c>
      <c r="FA37" s="178"/>
      <c r="FB37" s="191" t="e">
        <f>FB32/FB22</f>
        <v>#DIV/0!</v>
      </c>
      <c r="FC37" s="178"/>
      <c r="FD37" s="178"/>
      <c r="FE37" s="245" t="s">
        <v>49</v>
      </c>
      <c r="FF37" s="233"/>
      <c r="FG37" s="218"/>
      <c r="FH37" s="191">
        <f>FH32/FH22</f>
        <v>191.81493521790338</v>
      </c>
      <c r="FI37" s="218"/>
      <c r="FJ37" s="218"/>
      <c r="FK37" s="191">
        <f>FK32/FK22</f>
        <v>132.3785140562249</v>
      </c>
      <c r="FL37" s="191">
        <f>FK37-FH37</f>
        <v>-59.43642116167848</v>
      </c>
      <c r="FM37" s="192">
        <f>FL37/FK37</f>
        <v>-0.448988429772177</v>
      </c>
      <c r="FN37" s="218"/>
      <c r="FO37" s="191">
        <f>FO32/FO22</f>
        <v>190.51243741765478</v>
      </c>
      <c r="FP37" s="189"/>
      <c r="FQ37" s="193"/>
      <c r="FR37" s="219">
        <f>FR32/FR22</f>
        <v>158.3928464196354</v>
      </c>
      <c r="FS37" s="219">
        <f>FR37-FO37</f>
        <v>-32.11959099801939</v>
      </c>
      <c r="FT37" s="220">
        <f>FS37/FR37</f>
        <v>-0.20278435373857667</v>
      </c>
      <c r="FU37" s="178"/>
      <c r="FV37" s="191" t="e">
        <f>FV32/FV22</f>
        <v>#DIV/0!</v>
      </c>
      <c r="FW37" s="178"/>
      <c r="FX37" s="178"/>
      <c r="FY37" s="245" t="s">
        <v>49</v>
      </c>
      <c r="FZ37" s="233"/>
      <c r="GA37" s="218"/>
      <c r="GB37" s="191">
        <f>GB32/GB22</f>
        <v>218.46991793669406</v>
      </c>
      <c r="GC37" s="218"/>
      <c r="GD37" s="218"/>
      <c r="GE37" s="191">
        <f>GE32/GE22</f>
        <v>171.32742155525239</v>
      </c>
      <c r="GF37" s="191">
        <f>GE37-GB37</f>
        <v>-47.142496381441674</v>
      </c>
      <c r="GG37" s="192">
        <f>GF37/GE37</f>
        <v>-0.2751602513683918</v>
      </c>
      <c r="GH37" s="218"/>
      <c r="GI37" s="191">
        <f>GI32/GI22</f>
        <v>193.10401869158875</v>
      </c>
      <c r="GJ37" s="189"/>
      <c r="GK37" s="193"/>
      <c r="GL37" s="219">
        <f>GL32/GL22</f>
        <v>159.4317510409818</v>
      </c>
      <c r="GM37" s="219">
        <f>GL37-GI37</f>
        <v>-33.672267650606955</v>
      </c>
      <c r="GN37" s="220">
        <f>GM37/GL37</f>
        <v>-0.21120176772035532</v>
      </c>
      <c r="GO37" s="178"/>
      <c r="GP37" s="191" t="e">
        <f>GP32/GP22</f>
        <v>#DIV/0!</v>
      </c>
      <c r="GQ37" s="178"/>
      <c r="GR37" s="178"/>
      <c r="GS37" s="245" t="s">
        <v>49</v>
      </c>
      <c r="GT37" s="233"/>
      <c r="GU37" s="218"/>
      <c r="GV37" s="191">
        <f>GV32/GV22</f>
        <v>208.15650057937427</v>
      </c>
      <c r="GW37" s="218"/>
      <c r="GX37" s="218"/>
      <c r="GY37" s="191">
        <f>GY32/GY22</f>
        <v>137.13456221198157</v>
      </c>
      <c r="GZ37" s="191">
        <f>GY37-GV37</f>
        <v>-71.02193836739269</v>
      </c>
      <c r="HA37" s="192">
        <f>GZ37/GY37</f>
        <v>-0.5178996251696747</v>
      </c>
      <c r="HB37" s="218"/>
      <c r="HC37" s="191">
        <f>HC32/HC22</f>
        <v>194.39465871833082</v>
      </c>
      <c r="HD37" s="189"/>
      <c r="HE37" s="193"/>
      <c r="HF37" s="219">
        <f>HF32/HF22</f>
        <v>157.06249730682597</v>
      </c>
      <c r="HG37" s="219">
        <f>HF37-HC37</f>
        <v>-37.33216141150484</v>
      </c>
      <c r="HH37" s="220">
        <f>HG37/HF37</f>
        <v>-0.23768984991099068</v>
      </c>
      <c r="HI37" s="178"/>
      <c r="HJ37" s="191" t="e">
        <f>HJ32/HJ22</f>
        <v>#DIV/0!</v>
      </c>
      <c r="HK37" s="178"/>
      <c r="HL37" s="178"/>
      <c r="HM37" s="245" t="s">
        <v>49</v>
      </c>
      <c r="HN37" s="233"/>
      <c r="HO37" s="218"/>
      <c r="HP37" s="191">
        <f>HP32/HP22</f>
        <v>163.28817490494296</v>
      </c>
      <c r="HQ37" s="218"/>
      <c r="HR37" s="218"/>
      <c r="HS37" s="191">
        <f>HS32/HS22</f>
        <v>164.51108764519535</v>
      </c>
      <c r="HT37" s="191">
        <f>HS37-HP37</f>
        <v>1.222912740252383</v>
      </c>
      <c r="HU37" s="192">
        <f>HT37/HS37</f>
        <v>0.007433618960017246</v>
      </c>
      <c r="HV37" s="218"/>
      <c r="HW37" s="191">
        <f>HW32/HW22</f>
        <v>191.45105693982188</v>
      </c>
      <c r="HX37" s="189"/>
      <c r="HY37" s="193"/>
      <c r="HZ37" s="219">
        <f>HZ32/HZ22</f>
        <v>157.69467288044453</v>
      </c>
      <c r="IA37" s="219">
        <f>HZ37-HW37</f>
        <v>-33.75638405937735</v>
      </c>
      <c r="IB37" s="220">
        <f>IA37/HZ37</f>
        <v>-0.2140616638646354</v>
      </c>
      <c r="IC37" s="178"/>
      <c r="ID37" s="191" t="e">
        <f>ID32/ID22</f>
        <v>#DIV/0!</v>
      </c>
      <c r="IE37" s="178"/>
      <c r="IF37" s="178"/>
    </row>
    <row r="38" spans="1:240" ht="13.5" thickBot="1">
      <c r="A38" s="245" t="s">
        <v>50</v>
      </c>
      <c r="B38" s="365" t="s">
        <v>39</v>
      </c>
      <c r="C38" s="214"/>
      <c r="D38" s="182">
        <f>D29/D23</f>
        <v>377.22844262295087</v>
      </c>
      <c r="E38" s="214"/>
      <c r="F38" s="214"/>
      <c r="G38" s="182">
        <f>G29/G23</f>
        <v>316.007204610951</v>
      </c>
      <c r="H38" s="182">
        <f t="shared" si="50"/>
        <v>-61.221238011999844</v>
      </c>
      <c r="I38" s="183">
        <f t="shared" si="51"/>
        <v>-0.1937336779627279</v>
      </c>
      <c r="J38" s="214"/>
      <c r="K38" s="182">
        <f>K29/K23</f>
        <v>377.22844262295087</v>
      </c>
      <c r="L38" s="180"/>
      <c r="M38" s="184"/>
      <c r="N38" s="215">
        <f>N29/N23</f>
        <v>316.007204610951</v>
      </c>
      <c r="O38" s="215">
        <f t="shared" si="49"/>
        <v>-61.221238011999844</v>
      </c>
      <c r="P38" s="216">
        <f t="shared" si="48"/>
        <v>-0.1937336779627279</v>
      </c>
      <c r="Q38" s="178"/>
      <c r="R38" s="211">
        <f>R29/R23</f>
        <v>377.22844262295087</v>
      </c>
      <c r="S38" s="178"/>
      <c r="T38" s="178"/>
      <c r="U38" s="245" t="s">
        <v>50</v>
      </c>
      <c r="V38" s="244" t="s">
        <v>39</v>
      </c>
      <c r="W38" s="214"/>
      <c r="X38" s="182">
        <f>X29/X23</f>
        <v>309.3390951276102</v>
      </c>
      <c r="Y38" s="214"/>
      <c r="Z38" s="214"/>
      <c r="AA38" s="182">
        <f>AA29/AA23</f>
        <v>295.145842217484</v>
      </c>
      <c r="AB38" s="182">
        <f>AA38-X38</f>
        <v>-14.193252910126205</v>
      </c>
      <c r="AC38" s="183">
        <f>AB38/AA38</f>
        <v>-0.04808894749622672</v>
      </c>
      <c r="AD38" s="214"/>
      <c r="AE38" s="182">
        <f>AE29/AE23</f>
        <v>345.3891512513602</v>
      </c>
      <c r="AF38" s="180"/>
      <c r="AG38" s="184"/>
      <c r="AH38" s="215">
        <f>AH29/AH23</f>
        <v>307.5944969905417</v>
      </c>
      <c r="AI38" s="215">
        <f t="shared" si="52"/>
        <v>-37.794654260818504</v>
      </c>
      <c r="AJ38" s="216">
        <f t="shared" si="53"/>
        <v>-0.12287168538642829</v>
      </c>
      <c r="AK38" s="178"/>
      <c r="AL38" s="211" t="e">
        <f>AL29/AL23</f>
        <v>#DIV/0!</v>
      </c>
      <c r="AM38" s="178"/>
      <c r="AN38" s="178"/>
      <c r="AO38" s="245" t="s">
        <v>50</v>
      </c>
      <c r="AP38" s="244" t="s">
        <v>39</v>
      </c>
      <c r="AQ38" s="214"/>
      <c r="AR38" s="182">
        <f>AR29/AR23</f>
        <v>331.4183162217659</v>
      </c>
      <c r="AS38" s="214"/>
      <c r="AT38" s="214"/>
      <c r="AU38" s="182">
        <f>AU29/AU23</f>
        <v>348.03</v>
      </c>
      <c r="AV38" s="182">
        <f>AU38-AR38</f>
        <v>16.611683778234067</v>
      </c>
      <c r="AW38" s="183">
        <f>AV38/AU38</f>
        <v>0.04773060879301804</v>
      </c>
      <c r="AX38" s="214"/>
      <c r="AY38" s="182">
        <f>AY29/AY23</f>
        <v>340.5500355618777</v>
      </c>
      <c r="AZ38" s="180"/>
      <c r="BA38" s="184"/>
      <c r="BB38" s="215">
        <f>BB29/BB23</f>
        <v>319.7518941671678</v>
      </c>
      <c r="BC38" s="215">
        <f>BB38-AY38</f>
        <v>-20.798141394709887</v>
      </c>
      <c r="BD38" s="216">
        <f>BC38/BB38</f>
        <v>-0.0650446229533093</v>
      </c>
      <c r="BE38" s="178"/>
      <c r="BF38" s="211" t="e">
        <f>BF29/BF23</f>
        <v>#DIV/0!</v>
      </c>
      <c r="BG38" s="178"/>
      <c r="BH38" s="178"/>
      <c r="BI38" s="245" t="s">
        <v>50</v>
      </c>
      <c r="BJ38" s="244" t="s">
        <v>39</v>
      </c>
      <c r="BK38" s="214"/>
      <c r="BL38" s="182">
        <f>BL29/BL23</f>
        <v>374.4996743295019</v>
      </c>
      <c r="BM38" s="214"/>
      <c r="BN38" s="214"/>
      <c r="BO38" s="182">
        <f>BO29/BO23</f>
        <v>291.11764705882354</v>
      </c>
      <c r="BP38" s="182">
        <f>BO38-BL38</f>
        <v>-83.38202727067835</v>
      </c>
      <c r="BQ38" s="183">
        <f>BP38/BO38</f>
        <v>-0.2864203806024514</v>
      </c>
      <c r="BR38" s="214"/>
      <c r="BS38" s="182">
        <f>BS29/BS23</f>
        <v>349.7417946058091</v>
      </c>
      <c r="BT38" s="180"/>
      <c r="BU38" s="184"/>
      <c r="BV38" s="215">
        <f>BV29/BV23</f>
        <v>313.73938242280286</v>
      </c>
      <c r="BW38" s="215">
        <f>BV38-BS38</f>
        <v>-36.00241218300624</v>
      </c>
      <c r="BX38" s="216">
        <f>BW38/BV38</f>
        <v>-0.11475260741888155</v>
      </c>
      <c r="BY38" s="178"/>
      <c r="BZ38" s="211" t="e">
        <f>BZ29/BZ23</f>
        <v>#DIV/0!</v>
      </c>
      <c r="CA38" s="178"/>
      <c r="CB38" s="178"/>
      <c r="CC38" s="245" t="s">
        <v>50</v>
      </c>
      <c r="CD38" s="244" t="s">
        <v>39</v>
      </c>
      <c r="CE38" s="214"/>
      <c r="CF38" s="182">
        <f>CF29/CF23</f>
        <v>403.42126410835215</v>
      </c>
      <c r="CG38" s="214"/>
      <c r="CH38" s="214"/>
      <c r="CI38" s="182">
        <f>CI29/CI23</f>
        <v>267.8854961832061</v>
      </c>
      <c r="CJ38" s="182">
        <f>CI38-CF38</f>
        <v>-135.53576792514605</v>
      </c>
      <c r="CK38" s="183">
        <f>CJ38/CI38</f>
        <v>-0.5059466445785237</v>
      </c>
      <c r="CL38" s="214"/>
      <c r="CM38" s="182">
        <f>CM29/CM23</f>
        <v>359.7713201180936</v>
      </c>
      <c r="CN38" s="180"/>
      <c r="CO38" s="184"/>
      <c r="CP38" s="215">
        <f>CP29/CP23</f>
        <v>304.6</v>
      </c>
      <c r="CQ38" s="215">
        <f>CP38-CM38</f>
        <v>-55.171320118093604</v>
      </c>
      <c r="CR38" s="216">
        <f>CQ38/CP38</f>
        <v>-0.18112711791888902</v>
      </c>
      <c r="CS38" s="178"/>
      <c r="CT38" s="211" t="e">
        <f>CT29/CT23</f>
        <v>#DIV/0!</v>
      </c>
      <c r="CU38" s="178"/>
      <c r="CV38" s="178"/>
      <c r="CW38" s="245" t="s">
        <v>50</v>
      </c>
      <c r="CX38" s="244" t="s">
        <v>39</v>
      </c>
      <c r="CY38" s="214"/>
      <c r="CZ38" s="182">
        <f>CZ29/CZ23</f>
        <v>368.36652892561983</v>
      </c>
      <c r="DA38" s="214"/>
      <c r="DB38" s="214"/>
      <c r="DC38" s="182">
        <f>DC29/DC23</f>
        <v>275.03386004514675</v>
      </c>
      <c r="DD38" s="182">
        <f>DC38-CZ38</f>
        <v>-93.33266888047308</v>
      </c>
      <c r="DE38" s="183">
        <f>DD38/DC38</f>
        <v>-0.33934973993802997</v>
      </c>
      <c r="DF38" s="214"/>
      <c r="DG38" s="182">
        <f>DG29/DG23</f>
        <v>361.22844133099824</v>
      </c>
      <c r="DH38" s="180"/>
      <c r="DI38" s="184"/>
      <c r="DJ38" s="215">
        <f>DJ29/DJ23</f>
        <v>300.3363932291667</v>
      </c>
      <c r="DK38" s="215">
        <f>DJ38-DG38</f>
        <v>-60.89204810183156</v>
      </c>
      <c r="DL38" s="216">
        <f>DK38/DJ38</f>
        <v>-0.20274615222993939</v>
      </c>
      <c r="DM38" s="178"/>
      <c r="DN38" s="211" t="e">
        <f>DN29/DN23</f>
        <v>#DIV/0!</v>
      </c>
      <c r="DO38" s="178"/>
      <c r="DP38" s="178"/>
      <c r="DQ38" s="245" t="s">
        <v>50</v>
      </c>
      <c r="DR38" s="244" t="s">
        <v>39</v>
      </c>
      <c r="DS38" s="214"/>
      <c r="DT38" s="182">
        <f>DT29/DT23</f>
        <v>314.1515887850467</v>
      </c>
      <c r="DU38" s="214"/>
      <c r="DV38" s="214"/>
      <c r="DW38" s="182">
        <f>DW29/DW23</f>
        <v>263.13709956709954</v>
      </c>
      <c r="DX38" s="182">
        <f>DW38-DT38</f>
        <v>-51.01448921794719</v>
      </c>
      <c r="DY38" s="183">
        <f>DX38/DW38</f>
        <v>-0.19387037898446766</v>
      </c>
      <c r="DZ38" s="214"/>
      <c r="EA38" s="182">
        <f>EA29/EA23</f>
        <v>352.5857935373177</v>
      </c>
      <c r="EB38" s="180"/>
      <c r="EC38" s="184"/>
      <c r="ED38" s="215">
        <f>ED29/ED23</f>
        <v>295.4733276740238</v>
      </c>
      <c r="EE38" s="215">
        <f>ED38-EA38</f>
        <v>-57.11246586329395</v>
      </c>
      <c r="EF38" s="216">
        <f>EE38/ED38</f>
        <v>-0.19329144296334713</v>
      </c>
      <c r="EG38" s="178"/>
      <c r="EH38" s="211" t="e">
        <f>EH29/EH23</f>
        <v>#DIV/0!</v>
      </c>
      <c r="EI38" s="178"/>
      <c r="EJ38" s="178"/>
      <c r="EK38" s="245" t="s">
        <v>50</v>
      </c>
      <c r="EL38" s="244" t="s">
        <v>39</v>
      </c>
      <c r="EM38" s="214"/>
      <c r="EN38" s="182">
        <f>EN29/EN23</f>
        <v>348.7059523809524</v>
      </c>
      <c r="EO38" s="214"/>
      <c r="EP38" s="214"/>
      <c r="EQ38" s="182">
        <f>EQ29/EQ23</f>
        <v>315.0374677002584</v>
      </c>
      <c r="ER38" s="182">
        <f>EQ38-EN38</f>
        <v>-33.66848468069401</v>
      </c>
      <c r="ES38" s="183">
        <f>ER38/EQ38</f>
        <v>-0.10687136652814834</v>
      </c>
      <c r="ET38" s="214"/>
      <c r="EU38" s="182">
        <f>EU29/EU23</f>
        <v>352.1330310684516</v>
      </c>
      <c r="EV38" s="180"/>
      <c r="EW38" s="184"/>
      <c r="EX38" s="215">
        <f>EX29/EX23</f>
        <v>297.4042948227493</v>
      </c>
      <c r="EY38" s="215">
        <f>EX38-EU38</f>
        <v>-54.728736245702294</v>
      </c>
      <c r="EZ38" s="216">
        <f>EY38/EX38</f>
        <v>-0.1840213379511557</v>
      </c>
      <c r="FA38" s="178"/>
      <c r="FB38" s="211" t="e">
        <f>FB29/FB23</f>
        <v>#DIV/0!</v>
      </c>
      <c r="FC38" s="178"/>
      <c r="FD38" s="178"/>
      <c r="FE38" s="245" t="s">
        <v>50</v>
      </c>
      <c r="FF38" s="244" t="s">
        <v>39</v>
      </c>
      <c r="FG38" s="214"/>
      <c r="FH38" s="182">
        <f>FH29/FH23</f>
        <v>320.1565330661322</v>
      </c>
      <c r="FI38" s="214"/>
      <c r="FJ38" s="214"/>
      <c r="FK38" s="182">
        <f>FK29/FK23</f>
        <v>241.62452830188678</v>
      </c>
      <c r="FL38" s="182">
        <f>FK38-FH38</f>
        <v>-78.53200476424544</v>
      </c>
      <c r="FM38" s="183">
        <f>FL38/FK38</f>
        <v>-0.32501669145992995</v>
      </c>
      <c r="FN38" s="214"/>
      <c r="FO38" s="182">
        <f>FO29/FO23</f>
        <v>348.5537864513234</v>
      </c>
      <c r="FP38" s="180"/>
      <c r="FQ38" s="184"/>
      <c r="FR38" s="215">
        <f>FR29/FR23</f>
        <v>290.76235452707255</v>
      </c>
      <c r="FS38" s="215">
        <f>FR38-FO38</f>
        <v>-57.791431924250844</v>
      </c>
      <c r="FT38" s="216">
        <f>FS38/FR38</f>
        <v>-0.19875830218203144</v>
      </c>
      <c r="FU38" s="178"/>
      <c r="FV38" s="211" t="e">
        <f>FV29/FV23</f>
        <v>#DIV/0!</v>
      </c>
      <c r="FW38" s="178"/>
      <c r="FX38" s="178"/>
      <c r="FY38" s="245" t="s">
        <v>50</v>
      </c>
      <c r="FZ38" s="244" t="s">
        <v>39</v>
      </c>
      <c r="GA38" s="214"/>
      <c r="GB38" s="182">
        <f>GB29/GB23</f>
        <v>381.1323700623701</v>
      </c>
      <c r="GC38" s="214"/>
      <c r="GD38" s="214"/>
      <c r="GE38" s="182">
        <f>GE29/GE23</f>
        <v>296.56857855361596</v>
      </c>
      <c r="GF38" s="182">
        <f>GE38-GB38</f>
        <v>-84.56379150875415</v>
      </c>
      <c r="GG38" s="183">
        <f>GF38/GE38</f>
        <v>-0.2851407654889712</v>
      </c>
      <c r="GH38" s="214"/>
      <c r="GI38" s="182">
        <f>GI29/GI23</f>
        <v>351.7265539582911</v>
      </c>
      <c r="GJ38" s="180"/>
      <c r="GK38" s="184"/>
      <c r="GL38" s="215">
        <f>GL29/GL23</f>
        <v>291.24221764220937</v>
      </c>
      <c r="GM38" s="215">
        <f>GL38-GI38</f>
        <v>-60.48433631608174</v>
      </c>
      <c r="GN38" s="216">
        <f>GM38/GL38</f>
        <v>-0.2076770902437869</v>
      </c>
      <c r="GO38" s="178"/>
      <c r="GP38" s="211" t="e">
        <f>GP29/GP23</f>
        <v>#DIV/0!</v>
      </c>
      <c r="GQ38" s="178"/>
      <c r="GR38" s="178"/>
      <c r="GS38" s="245" t="s">
        <v>50</v>
      </c>
      <c r="GT38" s="244" t="s">
        <v>39</v>
      </c>
      <c r="GU38" s="214"/>
      <c r="GV38" s="182">
        <f>GV29/GV23</f>
        <v>416.94139479905436</v>
      </c>
      <c r="GW38" s="214"/>
      <c r="GX38" s="214"/>
      <c r="GY38" s="182">
        <f>GY29/GY23</f>
        <v>308.75957446808513</v>
      </c>
      <c r="GZ38" s="182">
        <f>GY38-GV38</f>
        <v>-108.18182033096923</v>
      </c>
      <c r="HA38" s="183">
        <f>GZ38/GY38</f>
        <v>-0.3503755973149633</v>
      </c>
      <c r="HB38" s="214"/>
      <c r="HC38" s="182">
        <f>HC29/HC23</f>
        <v>356.8712532637075</v>
      </c>
      <c r="HD38" s="180"/>
      <c r="HE38" s="184"/>
      <c r="HF38" s="215">
        <f>HF29/HF23</f>
        <v>292.78922209695605</v>
      </c>
      <c r="HG38" s="215">
        <f>HF38-HC38</f>
        <v>-64.08203116675145</v>
      </c>
      <c r="HH38" s="216">
        <f>HG38/HF38</f>
        <v>-0.21886745252368245</v>
      </c>
      <c r="HI38" s="178"/>
      <c r="HJ38" s="211" t="e">
        <f>HJ29/HJ23</f>
        <v>#DIV/0!</v>
      </c>
      <c r="HK38" s="178"/>
      <c r="HL38" s="178"/>
      <c r="HM38" s="245" t="s">
        <v>50</v>
      </c>
      <c r="HN38" s="244" t="s">
        <v>39</v>
      </c>
      <c r="HO38" s="214"/>
      <c r="HP38" s="182">
        <f>HP29/HP23</f>
        <v>326.76610136452246</v>
      </c>
      <c r="HQ38" s="214"/>
      <c r="HR38" s="214"/>
      <c r="HS38" s="182">
        <f>HS29/HS23</f>
        <v>309.14519427402865</v>
      </c>
      <c r="HT38" s="182">
        <f>HS38-HP38</f>
        <v>-17.6209070904938</v>
      </c>
      <c r="HU38" s="183">
        <f>HT38/HS38</f>
        <v>-0.056998806440686556</v>
      </c>
      <c r="HV38" s="214"/>
      <c r="HW38" s="182">
        <f>HW29/HW23</f>
        <v>354.24249702127656</v>
      </c>
      <c r="HX38" s="180"/>
      <c r="HY38" s="184"/>
      <c r="HZ38" s="215">
        <f>HZ29/HZ23</f>
        <v>294.1655893994149</v>
      </c>
      <c r="IA38" s="215">
        <f>HZ38-HW38</f>
        <v>-60.076907621861665</v>
      </c>
      <c r="IB38" s="216">
        <f>IA38/HZ38</f>
        <v>-0.20422819591005895</v>
      </c>
      <c r="IC38" s="178"/>
      <c r="ID38" s="211" t="e">
        <f>ID29/ID23</f>
        <v>#DIV/0!</v>
      </c>
      <c r="IE38" s="178"/>
      <c r="IF38" s="178"/>
    </row>
    <row r="39" spans="1:240" ht="13.5" thickBot="1">
      <c r="A39" s="242"/>
      <c r="B39" s="366" t="s">
        <v>40</v>
      </c>
      <c r="C39" s="214"/>
      <c r="D39" s="182">
        <f>D30/D24</f>
        <v>53.05855263157895</v>
      </c>
      <c r="E39" s="214"/>
      <c r="F39" s="214"/>
      <c r="G39" s="182">
        <f>G30/G24</f>
        <v>73.40983606557377</v>
      </c>
      <c r="H39" s="182">
        <f t="shared" si="50"/>
        <v>20.351283433994823</v>
      </c>
      <c r="I39" s="183">
        <f t="shared" si="51"/>
        <v>0.2772282915305235</v>
      </c>
      <c r="J39" s="214"/>
      <c r="K39" s="182">
        <f>K30/K24</f>
        <v>53.05855263157895</v>
      </c>
      <c r="L39" s="180"/>
      <c r="M39" s="184"/>
      <c r="N39" s="215">
        <f>N30/N24</f>
        <v>73.40983606557377</v>
      </c>
      <c r="O39" s="215">
        <f t="shared" si="49"/>
        <v>20.351283433994823</v>
      </c>
      <c r="P39" s="216">
        <f t="shared" si="48"/>
        <v>0.2772282915305235</v>
      </c>
      <c r="Q39" s="352"/>
      <c r="R39" s="182">
        <f>R30/R24</f>
        <v>53.05855263157895</v>
      </c>
      <c r="S39" s="352"/>
      <c r="T39" s="266"/>
      <c r="U39" s="242"/>
      <c r="V39" s="360" t="s">
        <v>40</v>
      </c>
      <c r="W39" s="221"/>
      <c r="X39" s="217">
        <f>X30/X24</f>
        <v>75.30519230769231</v>
      </c>
      <c r="Y39" s="221"/>
      <c r="Z39" s="221"/>
      <c r="AA39" s="217">
        <f>AA30/AA24</f>
        <v>76.3092105263158</v>
      </c>
      <c r="AB39" s="217">
        <f>AA39-X39</f>
        <v>1.0040182186234858</v>
      </c>
      <c r="AC39" s="205">
        <f>AB39/AA39</f>
        <v>0.013157235040156035</v>
      </c>
      <c r="AD39" s="221"/>
      <c r="AE39" s="217">
        <f>AE30/AE24</f>
        <v>62.09625</v>
      </c>
      <c r="AF39" s="222"/>
      <c r="AG39" s="223"/>
      <c r="AH39" s="224">
        <f>AH30/AH24</f>
        <v>74.52272727272727</v>
      </c>
      <c r="AI39" s="224">
        <f t="shared" si="52"/>
        <v>12.426477272727269</v>
      </c>
      <c r="AJ39" s="225">
        <f t="shared" si="53"/>
        <v>0.166747483989021</v>
      </c>
      <c r="AK39" s="178"/>
      <c r="AL39" s="217" t="e">
        <f>AL30/AL24</f>
        <v>#DIV/0!</v>
      </c>
      <c r="AM39" s="178"/>
      <c r="AN39" s="178"/>
      <c r="AO39" s="242"/>
      <c r="AP39" s="245" t="s">
        <v>40</v>
      </c>
      <c r="AQ39" s="221"/>
      <c r="AR39" s="217">
        <f>AR30/AR24</f>
        <v>73.09111111111112</v>
      </c>
      <c r="AS39" s="221"/>
      <c r="AT39" s="221"/>
      <c r="AU39" s="217">
        <f>AU30/AU24</f>
        <v>75.0945945945946</v>
      </c>
      <c r="AV39" s="217">
        <f>AU39-AR39</f>
        <v>2.0034834834834783</v>
      </c>
      <c r="AW39" s="205">
        <f>AV39/AU39</f>
        <v>0.026679463339531653</v>
      </c>
      <c r="AX39" s="221"/>
      <c r="AY39" s="217">
        <f>AY30/AY24</f>
        <v>65.35846153846154</v>
      </c>
      <c r="AZ39" s="222"/>
      <c r="BA39" s="223"/>
      <c r="BB39" s="224">
        <f>BB30/BB24</f>
        <v>74.76734104046243</v>
      </c>
      <c r="BC39" s="224">
        <f>BB39-AY39</f>
        <v>9.408879502000886</v>
      </c>
      <c r="BD39" s="225">
        <f>BC39/BB39</f>
        <v>0.1258421039329058</v>
      </c>
      <c r="BE39" s="178"/>
      <c r="BF39" s="217" t="e">
        <f>BF30/BF24</f>
        <v>#DIV/0!</v>
      </c>
      <c r="BG39" s="178"/>
      <c r="BH39" s="178"/>
      <c r="BI39" s="242"/>
      <c r="BJ39" s="245" t="s">
        <v>40</v>
      </c>
      <c r="BK39" s="221"/>
      <c r="BL39" s="217">
        <f>BL30/BL24</f>
        <v>64.30169811320755</v>
      </c>
      <c r="BM39" s="221"/>
      <c r="BN39" s="221"/>
      <c r="BO39" s="217">
        <f>BO30/BO24</f>
        <v>52.25757575757576</v>
      </c>
      <c r="BP39" s="217">
        <f>BO39-BL39</f>
        <v>-12.044122355631792</v>
      </c>
      <c r="BQ39" s="205">
        <f>BP39/BO39</f>
        <v>-0.23047610190539236</v>
      </c>
      <c r="BR39" s="221"/>
      <c r="BS39" s="217">
        <f>BS30/BS24</f>
        <v>65.12012765957446</v>
      </c>
      <c r="BT39" s="222"/>
      <c r="BU39" s="223"/>
      <c r="BV39" s="224">
        <f>BV30/BV24</f>
        <v>68.55125523012552</v>
      </c>
      <c r="BW39" s="224">
        <f>BV39-BS39</f>
        <v>3.4311275705510553</v>
      </c>
      <c r="BX39" s="225">
        <f>BW39/BV39</f>
        <v>0.05005200209730387</v>
      </c>
      <c r="BY39" s="178"/>
      <c r="BZ39" s="217" t="e">
        <f>BZ30/BZ24</f>
        <v>#DIV/0!</v>
      </c>
      <c r="CA39" s="178"/>
      <c r="CB39" s="178"/>
      <c r="CC39" s="242"/>
      <c r="CD39" s="245" t="s">
        <v>40</v>
      </c>
      <c r="CE39" s="221"/>
      <c r="CF39" s="217">
        <f>CF30/CF24</f>
        <v>63.67172413793104</v>
      </c>
      <c r="CG39" s="221"/>
      <c r="CH39" s="221"/>
      <c r="CI39" s="217">
        <f>CI30/CI24</f>
        <v>57.39393939393939</v>
      </c>
      <c r="CJ39" s="217">
        <f>CI39-CF39</f>
        <v>-6.277784743991646</v>
      </c>
      <c r="CK39" s="205">
        <f>CJ39/CI39</f>
        <v>-0.10938062119943205</v>
      </c>
      <c r="CL39" s="221"/>
      <c r="CM39" s="217">
        <f>CM30/CM24</f>
        <v>64.83341296928327</v>
      </c>
      <c r="CN39" s="222"/>
      <c r="CO39" s="223"/>
      <c r="CP39" s="224">
        <f>CP30/CP24</f>
        <v>66.13688524590164</v>
      </c>
      <c r="CQ39" s="224">
        <f>CP39-CM39</f>
        <v>1.3034722766183648</v>
      </c>
      <c r="CR39" s="225">
        <f>CQ39/CP39</f>
        <v>0.019708703725189996</v>
      </c>
      <c r="CS39" s="178"/>
      <c r="CT39" s="217" t="e">
        <f>CT30/CT24</f>
        <v>#DIV/0!</v>
      </c>
      <c r="CU39" s="178"/>
      <c r="CV39" s="178"/>
      <c r="CW39" s="242"/>
      <c r="CX39" s="245" t="s">
        <v>40</v>
      </c>
      <c r="CY39" s="221"/>
      <c r="CZ39" s="217">
        <f>CZ30/CZ24</f>
        <v>60.29524590163935</v>
      </c>
      <c r="DA39" s="221"/>
      <c r="DB39" s="221"/>
      <c r="DC39" s="217">
        <f>DC30/DC24</f>
        <v>62.51020408163265</v>
      </c>
      <c r="DD39" s="217">
        <f>DC39-CZ39</f>
        <v>2.214958179993303</v>
      </c>
      <c r="DE39" s="205">
        <f>DD39/DC39</f>
        <v>0.03543354581118898</v>
      </c>
      <c r="DF39" s="221"/>
      <c r="DG39" s="217">
        <f>DG30/DG24</f>
        <v>64.05141242937852</v>
      </c>
      <c r="DH39" s="222"/>
      <c r="DI39" s="223"/>
      <c r="DJ39" s="224">
        <f>DJ30/DJ24</f>
        <v>65.63488700564972</v>
      </c>
      <c r="DK39" s="224">
        <f>DJ39-DG39</f>
        <v>1.5834745762712004</v>
      </c>
      <c r="DL39" s="225">
        <f>DK39/DJ39</f>
        <v>0.02412550167314066</v>
      </c>
      <c r="DM39" s="178"/>
      <c r="DN39" s="217" t="e">
        <f>DN30/DN24</f>
        <v>#DIV/0!</v>
      </c>
      <c r="DO39" s="178"/>
      <c r="DP39" s="178"/>
      <c r="DQ39" s="242"/>
      <c r="DR39" s="245" t="s">
        <v>40</v>
      </c>
      <c r="DS39" s="221"/>
      <c r="DT39" s="217">
        <f>DT30/DT24</f>
        <v>66.62236842105263</v>
      </c>
      <c r="DU39" s="221"/>
      <c r="DV39" s="221"/>
      <c r="DW39" s="217">
        <f>DW30/DW24</f>
        <v>68.9368253968254</v>
      </c>
      <c r="DX39" s="217">
        <f>DW39-DT39</f>
        <v>2.314456975772771</v>
      </c>
      <c r="DY39" s="205">
        <f>DX39/DW39</f>
        <v>0.03357359382956665</v>
      </c>
      <c r="DZ39" s="221"/>
      <c r="EA39" s="217">
        <f>EA30/EA24</f>
        <v>64.50581395348836</v>
      </c>
      <c r="EB39" s="222"/>
      <c r="EC39" s="223"/>
      <c r="ED39" s="224">
        <f>ED30/ED24</f>
        <v>66.13374100719425</v>
      </c>
      <c r="EE39" s="224">
        <f>ED39-EA39</f>
        <v>1.6279270537058892</v>
      </c>
      <c r="EF39" s="225">
        <f>EE39/ED39</f>
        <v>0.024615680723835024</v>
      </c>
      <c r="EG39" s="178"/>
      <c r="EH39" s="217" t="e">
        <f>EH30/EH24</f>
        <v>#DIV/0!</v>
      </c>
      <c r="EI39" s="178"/>
      <c r="EJ39" s="178"/>
      <c r="EK39" s="242"/>
      <c r="EL39" s="245" t="s">
        <v>40</v>
      </c>
      <c r="EM39" s="221"/>
      <c r="EN39" s="217">
        <f>EN30/EN24</f>
        <v>92.27015625</v>
      </c>
      <c r="EO39" s="221"/>
      <c r="EP39" s="221"/>
      <c r="EQ39" s="217">
        <f>EQ30/EQ24</f>
        <v>64.03583333333333</v>
      </c>
      <c r="ER39" s="217">
        <f>EQ39-EN39</f>
        <v>-28.23432291666667</v>
      </c>
      <c r="ES39" s="205">
        <f>ER39/EQ39</f>
        <v>-0.4409144294210274</v>
      </c>
      <c r="ET39" s="221"/>
      <c r="EU39" s="217">
        <f>EU30/EU24</f>
        <v>68.10281376518218</v>
      </c>
      <c r="EV39" s="222"/>
      <c r="EW39" s="223"/>
      <c r="EX39" s="224">
        <f>EX30/EX24</f>
        <v>65.8698532494759</v>
      </c>
      <c r="EY39" s="224">
        <f>EX39-EU39</f>
        <v>-2.2329605157062815</v>
      </c>
      <c r="EZ39" s="225">
        <f>EY39/EX39</f>
        <v>-0.03389958236659725</v>
      </c>
      <c r="FA39" s="178"/>
      <c r="FB39" s="217" t="e">
        <f>FB30/FB24</f>
        <v>#DIV/0!</v>
      </c>
      <c r="FC39" s="178"/>
      <c r="FD39" s="178"/>
      <c r="FE39" s="242"/>
      <c r="FF39" s="245" t="s">
        <v>40</v>
      </c>
      <c r="FG39" s="221"/>
      <c r="FH39" s="217">
        <f>FH30/FH24</f>
        <v>64.43270833333334</v>
      </c>
      <c r="FI39" s="221"/>
      <c r="FJ39" s="221"/>
      <c r="FK39" s="217">
        <f>FK30/FK24</f>
        <v>70.14814814814815</v>
      </c>
      <c r="FL39" s="217">
        <f>FK39-FH39</f>
        <v>5.715439814814815</v>
      </c>
      <c r="FM39" s="205">
        <f>FL39/FK39</f>
        <v>0.08147670274551214</v>
      </c>
      <c r="FN39" s="221"/>
      <c r="FO39" s="217">
        <f>FO30/FO24</f>
        <v>67.77778597785976</v>
      </c>
      <c r="FP39" s="222"/>
      <c r="FQ39" s="223"/>
      <c r="FR39" s="224">
        <f>FR30/FR24</f>
        <v>66.304934086629</v>
      </c>
      <c r="FS39" s="224">
        <f>FR39-FO39</f>
        <v>-1.4728518912307607</v>
      </c>
      <c r="FT39" s="225">
        <f>FS39/FR39</f>
        <v>-0.02221330752408929</v>
      </c>
      <c r="FU39" s="178"/>
      <c r="FV39" s="217" t="e">
        <f>FV30/FV24</f>
        <v>#DIV/0!</v>
      </c>
      <c r="FW39" s="178"/>
      <c r="FX39" s="178"/>
      <c r="FY39" s="242"/>
      <c r="FZ39" s="245" t="s">
        <v>40</v>
      </c>
      <c r="GA39" s="221"/>
      <c r="GB39" s="217">
        <f>GB30/GB24</f>
        <v>91.82333333333334</v>
      </c>
      <c r="GC39" s="221"/>
      <c r="GD39" s="221"/>
      <c r="GE39" s="217">
        <f>GE30/GE24</f>
        <v>179.97297297297297</v>
      </c>
      <c r="GF39" s="217">
        <f>GE39-GB39</f>
        <v>88.14963963963963</v>
      </c>
      <c r="GG39" s="205">
        <f>GF39/GE39</f>
        <v>0.4897937628272513</v>
      </c>
      <c r="GH39" s="221"/>
      <c r="GI39" s="217">
        <f>GI30/GI24</f>
        <v>69.15779130434781</v>
      </c>
      <c r="GJ39" s="222"/>
      <c r="GK39" s="223"/>
      <c r="GL39" s="224">
        <f>GL30/GL24</f>
        <v>73.7093661971831</v>
      </c>
      <c r="GM39" s="224">
        <f>GL39-GI39</f>
        <v>4.551574892835291</v>
      </c>
      <c r="GN39" s="225">
        <f>GM39/GL39</f>
        <v>0.06175029209529731</v>
      </c>
      <c r="GO39" s="178"/>
      <c r="GP39" s="217" t="e">
        <f>GP30/GP24</f>
        <v>#DIV/0!</v>
      </c>
      <c r="GQ39" s="178"/>
      <c r="GR39" s="178"/>
      <c r="GS39" s="242"/>
      <c r="GT39" s="245" t="s">
        <v>40</v>
      </c>
      <c r="GU39" s="221"/>
      <c r="GV39" s="217">
        <f>GV30/GV24</f>
        <v>90.9125</v>
      </c>
      <c r="GW39" s="221"/>
      <c r="GX39" s="221"/>
      <c r="GY39" s="217">
        <f>GY30/GY24</f>
        <v>64.45614035087719</v>
      </c>
      <c r="GZ39" s="217">
        <f>GY39-GV39</f>
        <v>-26.456359649122803</v>
      </c>
      <c r="HA39" s="205">
        <f>GZ39/GY39</f>
        <v>-0.41045522591181266</v>
      </c>
      <c r="HB39" s="221"/>
      <c r="HC39" s="217">
        <f>HC30/HC24</f>
        <v>70.43957446808508</v>
      </c>
      <c r="HD39" s="222"/>
      <c r="HE39" s="223"/>
      <c r="HF39" s="224">
        <f>HF30/HF24</f>
        <v>72.865472</v>
      </c>
      <c r="HG39" s="224">
        <f>HF39-HC39</f>
        <v>2.425897531914913</v>
      </c>
      <c r="HH39" s="225">
        <f>HG39/HF39</f>
        <v>0.033292826702816296</v>
      </c>
      <c r="HI39" s="178"/>
      <c r="HJ39" s="217" t="e">
        <f>HJ30/HJ24</f>
        <v>#DIV/0!</v>
      </c>
      <c r="HK39" s="178"/>
      <c r="HL39" s="178"/>
      <c r="HM39" s="242"/>
      <c r="HN39" s="245" t="s">
        <v>40</v>
      </c>
      <c r="HO39" s="221"/>
      <c r="HP39" s="217">
        <f>HP30/HP24</f>
        <v>79.77211538461538</v>
      </c>
      <c r="HQ39" s="221"/>
      <c r="HR39" s="221"/>
      <c r="HS39" s="217">
        <f>HS30/HS24</f>
        <v>55.66265060240964</v>
      </c>
      <c r="HT39" s="217">
        <f>HS39-HP39</f>
        <v>-24.109464782205734</v>
      </c>
      <c r="HU39" s="205">
        <f>HT39/HS39</f>
        <v>-0.43313540626040603</v>
      </c>
      <c r="HV39" s="221"/>
      <c r="HW39" s="217">
        <f>HW30/HW24</f>
        <v>71.17153846153845</v>
      </c>
      <c r="HX39" s="222"/>
      <c r="HY39" s="223"/>
      <c r="HZ39" s="224">
        <f>HZ30/HZ24</f>
        <v>70.84875706214689</v>
      </c>
      <c r="IA39" s="224">
        <f>HZ39-HW39</f>
        <v>-0.3227813993915589</v>
      </c>
      <c r="IB39" s="225">
        <f>IA39/HZ39</f>
        <v>-0.0045559218365457356</v>
      </c>
      <c r="IC39" s="178"/>
      <c r="ID39" s="217" t="e">
        <f>ID30/ID24</f>
        <v>#DIV/0!</v>
      </c>
      <c r="IE39" s="178"/>
      <c r="IF39" s="178"/>
    </row>
    <row r="40" spans="1:240" ht="13.5" thickBot="1">
      <c r="A40" s="242"/>
      <c r="B40" s="367" t="s">
        <v>211</v>
      </c>
      <c r="C40" s="221"/>
      <c r="D40" s="217">
        <f>D31/D25</f>
        <v>449.54434782608695</v>
      </c>
      <c r="E40" s="221"/>
      <c r="F40" s="221"/>
      <c r="G40" s="217">
        <f>G31/G25</f>
        <v>157.36285714285714</v>
      </c>
      <c r="H40" s="217">
        <f t="shared" si="50"/>
        <v>-292.1814906832298</v>
      </c>
      <c r="I40" s="205">
        <f t="shared" si="51"/>
        <v>-1.8567373266359903</v>
      </c>
      <c r="J40" s="221"/>
      <c r="K40" s="217">
        <f>K31/K25</f>
        <v>449.54434782608695</v>
      </c>
      <c r="L40" s="222"/>
      <c r="M40" s="223"/>
      <c r="N40" s="224">
        <f>N31/N25</f>
        <v>157.36285714285714</v>
      </c>
      <c r="O40" s="224">
        <f t="shared" si="49"/>
        <v>-292.1814906832298</v>
      </c>
      <c r="P40" s="225">
        <f t="shared" si="48"/>
        <v>-1.8567373266359903</v>
      </c>
      <c r="Q40" s="222"/>
      <c r="R40" s="217">
        <f>R31/R25</f>
        <v>449.54434782608695</v>
      </c>
      <c r="S40" s="222"/>
      <c r="T40" s="222"/>
      <c r="U40" s="242"/>
      <c r="V40" s="348" t="s">
        <v>211</v>
      </c>
      <c r="W40" s="349"/>
      <c r="X40" s="217">
        <f>X31/X25</f>
        <v>690.1621739130435</v>
      </c>
      <c r="Y40" s="349"/>
      <c r="Z40" s="349"/>
      <c r="AA40" s="350">
        <v>0</v>
      </c>
      <c r="AB40" s="217">
        <f>AA40-X40</f>
        <v>-690.1621739130435</v>
      </c>
      <c r="AC40" s="351"/>
      <c r="AD40" s="349"/>
      <c r="AE40" s="217">
        <f>AE31/AE25</f>
        <v>569.8532608695652</v>
      </c>
      <c r="AF40" s="352"/>
      <c r="AG40" s="353"/>
      <c r="AH40" s="224">
        <f>AH31/AH25</f>
        <v>157.36285714285714</v>
      </c>
      <c r="AI40" s="224">
        <f t="shared" si="52"/>
        <v>-412.4904037267081</v>
      </c>
      <c r="AJ40" s="225">
        <f t="shared" si="53"/>
        <v>-2.621269155987941</v>
      </c>
      <c r="AK40" s="178"/>
      <c r="AL40" s="350"/>
      <c r="AM40" s="178"/>
      <c r="AN40" s="178"/>
      <c r="AO40" s="242"/>
      <c r="AP40" s="348"/>
      <c r="AQ40" s="349"/>
      <c r="AR40" s="350"/>
      <c r="AS40" s="349"/>
      <c r="AT40" s="349"/>
      <c r="AU40" s="350"/>
      <c r="AV40" s="350"/>
      <c r="AW40" s="351"/>
      <c r="AX40" s="349"/>
      <c r="AY40" s="350"/>
      <c r="AZ40" s="352"/>
      <c r="BA40" s="353"/>
      <c r="BB40" s="354"/>
      <c r="BC40" s="354"/>
      <c r="BD40" s="355"/>
      <c r="BE40" s="178"/>
      <c r="BF40" s="350"/>
      <c r="BG40" s="178"/>
      <c r="BH40" s="178"/>
      <c r="BI40" s="242"/>
      <c r="BJ40" s="348"/>
      <c r="BK40" s="349"/>
      <c r="BL40" s="350"/>
      <c r="BM40" s="349"/>
      <c r="BN40" s="349"/>
      <c r="BO40" s="350"/>
      <c r="BP40" s="350"/>
      <c r="BQ40" s="351"/>
      <c r="BR40" s="349"/>
      <c r="BS40" s="350"/>
      <c r="BT40" s="352"/>
      <c r="BU40" s="353"/>
      <c r="BV40" s="354"/>
      <c r="BW40" s="354"/>
      <c r="BX40" s="355"/>
      <c r="BY40" s="178"/>
      <c r="BZ40" s="350"/>
      <c r="CA40" s="178"/>
      <c r="CB40" s="178"/>
      <c r="CC40" s="242"/>
      <c r="CD40" s="348"/>
      <c r="CE40" s="349"/>
      <c r="CF40" s="350"/>
      <c r="CG40" s="349"/>
      <c r="CH40" s="349"/>
      <c r="CI40" s="350"/>
      <c r="CJ40" s="350"/>
      <c r="CK40" s="351"/>
      <c r="CL40" s="349"/>
      <c r="CM40" s="350"/>
      <c r="CN40" s="352"/>
      <c r="CO40" s="353"/>
      <c r="CP40" s="354"/>
      <c r="CQ40" s="354"/>
      <c r="CR40" s="355"/>
      <c r="CS40" s="178"/>
      <c r="CT40" s="350"/>
      <c r="CU40" s="178"/>
      <c r="CV40" s="178"/>
      <c r="CW40" s="242"/>
      <c r="CX40" s="348"/>
      <c r="CY40" s="349"/>
      <c r="CZ40" s="350"/>
      <c r="DA40" s="349"/>
      <c r="DB40" s="349"/>
      <c r="DC40" s="350"/>
      <c r="DD40" s="350"/>
      <c r="DE40" s="351"/>
      <c r="DF40" s="349"/>
      <c r="DG40" s="350"/>
      <c r="DH40" s="352"/>
      <c r="DI40" s="353"/>
      <c r="DJ40" s="354"/>
      <c r="DK40" s="354"/>
      <c r="DL40" s="355"/>
      <c r="DM40" s="178"/>
      <c r="DN40" s="350"/>
      <c r="DO40" s="178"/>
      <c r="DP40" s="178"/>
      <c r="DQ40" s="242"/>
      <c r="DR40" s="348"/>
      <c r="DS40" s="349"/>
      <c r="DT40" s="350"/>
      <c r="DU40" s="349"/>
      <c r="DV40" s="349"/>
      <c r="DW40" s="350"/>
      <c r="DX40" s="350"/>
      <c r="DY40" s="351"/>
      <c r="DZ40" s="349"/>
      <c r="EA40" s="350"/>
      <c r="EB40" s="352"/>
      <c r="EC40" s="353"/>
      <c r="ED40" s="354"/>
      <c r="EE40" s="354"/>
      <c r="EF40" s="355"/>
      <c r="EG40" s="178"/>
      <c r="EH40" s="350"/>
      <c r="EI40" s="178"/>
      <c r="EJ40" s="178"/>
      <c r="EK40" s="242"/>
      <c r="EL40" s="348"/>
      <c r="EM40" s="349"/>
      <c r="EN40" s="350"/>
      <c r="EO40" s="349"/>
      <c r="EP40" s="349"/>
      <c r="EQ40" s="350"/>
      <c r="ER40" s="350"/>
      <c r="ES40" s="351"/>
      <c r="ET40" s="349"/>
      <c r="EU40" s="350"/>
      <c r="EV40" s="352"/>
      <c r="EW40" s="353"/>
      <c r="EX40" s="354"/>
      <c r="EY40" s="354"/>
      <c r="EZ40" s="355"/>
      <c r="FA40" s="178"/>
      <c r="FB40" s="350"/>
      <c r="FC40" s="178"/>
      <c r="FD40" s="178"/>
      <c r="FE40" s="242"/>
      <c r="FF40" s="348"/>
      <c r="FG40" s="349"/>
      <c r="FH40" s="350"/>
      <c r="FI40" s="349"/>
      <c r="FJ40" s="349"/>
      <c r="FK40" s="350"/>
      <c r="FL40" s="350"/>
      <c r="FM40" s="351"/>
      <c r="FN40" s="349"/>
      <c r="FO40" s="350"/>
      <c r="FP40" s="352"/>
      <c r="FQ40" s="353"/>
      <c r="FR40" s="354"/>
      <c r="FS40" s="354"/>
      <c r="FT40" s="355"/>
      <c r="FU40" s="178"/>
      <c r="FV40" s="350"/>
      <c r="FW40" s="178"/>
      <c r="FX40" s="178"/>
      <c r="FY40" s="242"/>
      <c r="FZ40" s="348"/>
      <c r="GA40" s="349"/>
      <c r="GB40" s="350"/>
      <c r="GC40" s="349"/>
      <c r="GD40" s="349"/>
      <c r="GE40" s="350"/>
      <c r="GF40" s="350"/>
      <c r="GG40" s="351"/>
      <c r="GH40" s="349"/>
      <c r="GI40" s="350"/>
      <c r="GJ40" s="352"/>
      <c r="GK40" s="353"/>
      <c r="GL40" s="354"/>
      <c r="GM40" s="354"/>
      <c r="GN40" s="355"/>
      <c r="GO40" s="178"/>
      <c r="GP40" s="350"/>
      <c r="GQ40" s="178"/>
      <c r="GR40" s="178"/>
      <c r="GS40" s="242"/>
      <c r="GT40" s="348"/>
      <c r="GU40" s="349"/>
      <c r="GV40" s="350"/>
      <c r="GW40" s="349"/>
      <c r="GX40" s="349"/>
      <c r="GY40" s="350"/>
      <c r="GZ40" s="350"/>
      <c r="HA40" s="351"/>
      <c r="HB40" s="349"/>
      <c r="HC40" s="350"/>
      <c r="HD40" s="352"/>
      <c r="HE40" s="353"/>
      <c r="HF40" s="354"/>
      <c r="HG40" s="354"/>
      <c r="HH40" s="355"/>
      <c r="HI40" s="178"/>
      <c r="HJ40" s="350"/>
      <c r="HK40" s="178"/>
      <c r="HL40" s="178"/>
      <c r="HM40" s="242"/>
      <c r="HN40" s="348"/>
      <c r="HO40" s="349"/>
      <c r="HP40" s="350"/>
      <c r="HQ40" s="349"/>
      <c r="HR40" s="349"/>
      <c r="HS40" s="350"/>
      <c r="HT40" s="350"/>
      <c r="HU40" s="351"/>
      <c r="HV40" s="349"/>
      <c r="HW40" s="350"/>
      <c r="HX40" s="352"/>
      <c r="HY40" s="353"/>
      <c r="HZ40" s="354"/>
      <c r="IA40" s="354"/>
      <c r="IB40" s="355"/>
      <c r="IC40" s="178"/>
      <c r="ID40" s="350"/>
      <c r="IE40" s="178"/>
      <c r="IF40" s="178"/>
    </row>
    <row r="41" spans="1:240" ht="13.5" thickBot="1">
      <c r="A41" s="242"/>
      <c r="B41" s="228"/>
      <c r="N41" s="226"/>
      <c r="O41" s="226"/>
      <c r="P41" s="227"/>
      <c r="U41" s="242"/>
      <c r="V41" s="228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226"/>
      <c r="AI41" s="226"/>
      <c r="AJ41" s="227"/>
      <c r="AK41" s="171"/>
      <c r="AL41" s="171"/>
      <c r="AM41" s="171"/>
      <c r="AN41" s="171"/>
      <c r="AO41" s="242"/>
      <c r="AP41" s="228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226"/>
      <c r="BC41" s="226"/>
      <c r="BD41" s="227"/>
      <c r="BE41" s="171"/>
      <c r="BF41" s="171"/>
      <c r="BG41" s="171"/>
      <c r="BH41" s="171"/>
      <c r="BI41" s="242"/>
      <c r="BJ41" s="228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226"/>
      <c r="BW41" s="226"/>
      <c r="BX41" s="227"/>
      <c r="BY41" s="171"/>
      <c r="BZ41" s="171"/>
      <c r="CA41" s="171"/>
      <c r="CB41" s="171"/>
      <c r="CC41" s="242"/>
      <c r="CD41" s="228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226"/>
      <c r="CQ41" s="226"/>
      <c r="CR41" s="227"/>
      <c r="CS41" s="171"/>
      <c r="CT41" s="171"/>
      <c r="CU41" s="171"/>
      <c r="CV41" s="171"/>
      <c r="CW41" s="242"/>
      <c r="CX41" s="228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226"/>
      <c r="DK41" s="226"/>
      <c r="DL41" s="227"/>
      <c r="DM41" s="171"/>
      <c r="DN41" s="171"/>
      <c r="DO41" s="171"/>
      <c r="DP41" s="171"/>
      <c r="DQ41" s="242"/>
      <c r="DR41" s="228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226"/>
      <c r="EE41" s="226"/>
      <c r="EF41" s="227"/>
      <c r="EG41" s="171"/>
      <c r="EH41" s="171"/>
      <c r="EI41" s="171"/>
      <c r="EJ41" s="171"/>
      <c r="EK41" s="242"/>
      <c r="EL41" s="228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226"/>
      <c r="EY41" s="226"/>
      <c r="EZ41" s="227"/>
      <c r="FA41" s="171"/>
      <c r="FB41" s="171"/>
      <c r="FC41" s="171"/>
      <c r="FD41" s="171"/>
      <c r="FE41" s="242"/>
      <c r="FF41" s="228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226"/>
      <c r="FS41" s="226"/>
      <c r="FT41" s="227"/>
      <c r="FU41" s="171"/>
      <c r="FV41" s="171"/>
      <c r="FW41" s="171"/>
      <c r="FX41" s="171"/>
      <c r="FY41" s="242"/>
      <c r="FZ41" s="228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226"/>
      <c r="GM41" s="226"/>
      <c r="GN41" s="227"/>
      <c r="GO41" s="171"/>
      <c r="GP41" s="171"/>
      <c r="GQ41" s="171"/>
      <c r="GR41" s="171"/>
      <c r="GS41" s="242"/>
      <c r="GT41" s="228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226"/>
      <c r="HG41" s="226"/>
      <c r="HH41" s="227"/>
      <c r="HI41" s="171"/>
      <c r="HJ41" s="171"/>
      <c r="HK41" s="171"/>
      <c r="HL41" s="171"/>
      <c r="HM41" s="242"/>
      <c r="HN41" s="228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226"/>
      <c r="IA41" s="226"/>
      <c r="IB41" s="227"/>
      <c r="IC41" s="171"/>
      <c r="ID41" s="171"/>
      <c r="IE41" s="171"/>
      <c r="IF41" s="171"/>
    </row>
    <row r="42" spans="1:240" ht="13.5" thickBot="1">
      <c r="A42" s="245" t="s">
        <v>51</v>
      </c>
      <c r="B42" s="365" t="s">
        <v>39</v>
      </c>
      <c r="C42" s="210"/>
      <c r="D42" s="211">
        <f>D14/D23</f>
        <v>3.3954918032786887</v>
      </c>
      <c r="E42" s="210"/>
      <c r="F42" s="210"/>
      <c r="G42" s="211">
        <f>G14/G23</f>
        <v>2.750720461095101</v>
      </c>
      <c r="H42" s="211">
        <f aca="true" t="shared" si="54" ref="H42:H47">G42-D42</f>
        <v>-0.6447713421835877</v>
      </c>
      <c r="I42" s="175">
        <f aca="true" t="shared" si="55" ref="I42:I47">H42/G42</f>
        <v>-0.23440089652981133</v>
      </c>
      <c r="J42" s="210"/>
      <c r="K42" s="211">
        <f>K14/K23</f>
        <v>3.3954918032786887</v>
      </c>
      <c r="L42" s="210"/>
      <c r="M42" s="176"/>
      <c r="N42" s="212">
        <f>N14/N23</f>
        <v>2.750720461095101</v>
      </c>
      <c r="O42" s="212">
        <f t="shared" si="49"/>
        <v>-0.6447713421835877</v>
      </c>
      <c r="P42" s="213">
        <f t="shared" si="48"/>
        <v>-0.23440089652981133</v>
      </c>
      <c r="Q42" s="178"/>
      <c r="R42" s="211">
        <f>R14/R23</f>
        <v>3.3954918032786887</v>
      </c>
      <c r="S42" s="178"/>
      <c r="T42" s="178"/>
      <c r="U42" s="245" t="s">
        <v>51</v>
      </c>
      <c r="V42" s="370" t="s">
        <v>39</v>
      </c>
      <c r="W42" s="210"/>
      <c r="X42" s="211">
        <f>X14/X23</f>
        <v>2.8143851508120648</v>
      </c>
      <c r="Y42" s="210"/>
      <c r="Z42" s="210"/>
      <c r="AA42" s="211">
        <f>AA14/AA23</f>
        <v>2.9424307036247335</v>
      </c>
      <c r="AB42" s="211">
        <f aca="true" t="shared" si="56" ref="AB42:AB47">AA42-X42</f>
        <v>0.12804555281266872</v>
      </c>
      <c r="AC42" s="175">
        <f>AB42/AA42</f>
        <v>0.043516930629812774</v>
      </c>
      <c r="AD42" s="210"/>
      <c r="AE42" s="211">
        <f>AE14/AE23</f>
        <v>3.122959738846572</v>
      </c>
      <c r="AF42" s="210"/>
      <c r="AG42" s="176"/>
      <c r="AH42" s="212">
        <f>AH14/AH23</f>
        <v>2.8280309544282027</v>
      </c>
      <c r="AI42" s="212">
        <f aca="true" t="shared" si="57" ref="AI42:AI47">AH42-AE42</f>
        <v>-0.29492878441836945</v>
      </c>
      <c r="AJ42" s="213">
        <f aca="true" t="shared" si="58" ref="AJ42:AJ47">AI42/AH42</f>
        <v>-0.10428767901446144</v>
      </c>
      <c r="AK42" s="178"/>
      <c r="AL42" s="211" t="e">
        <f>AL14/AL23</f>
        <v>#DIV/0!</v>
      </c>
      <c r="AM42" s="178"/>
      <c r="AN42" s="178"/>
      <c r="AO42" s="245" t="s">
        <v>51</v>
      </c>
      <c r="AP42" s="245" t="s">
        <v>39</v>
      </c>
      <c r="AQ42" s="210"/>
      <c r="AR42" s="211">
        <f>AR14/AR23</f>
        <v>2.913757700205339</v>
      </c>
      <c r="AS42" s="210"/>
      <c r="AT42" s="210"/>
      <c r="AU42" s="211">
        <f>AU14/AU23</f>
        <v>2.712</v>
      </c>
      <c r="AV42" s="211">
        <f>AU42-AR42</f>
        <v>-0.20175770020533879</v>
      </c>
      <c r="AW42" s="175">
        <f>AV42/AU42</f>
        <v>-0.07439443222910722</v>
      </c>
      <c r="AX42" s="210"/>
      <c r="AY42" s="211">
        <f>AY14/AY23</f>
        <v>3.05049786628734</v>
      </c>
      <c r="AZ42" s="210"/>
      <c r="BA42" s="176"/>
      <c r="BB42" s="212">
        <f>BB14/BB23</f>
        <v>2.7931449188214073</v>
      </c>
      <c r="BC42" s="212">
        <f>BB42-AY42</f>
        <v>-0.25735294746593285</v>
      </c>
      <c r="BD42" s="213">
        <f>BC42/BB42</f>
        <v>-0.09213734157929952</v>
      </c>
      <c r="BE42" s="178"/>
      <c r="BF42" s="211" t="e">
        <f>BF14/BF23</f>
        <v>#DIV/0!</v>
      </c>
      <c r="BG42" s="178"/>
      <c r="BH42" s="178"/>
      <c r="BI42" s="245" t="s">
        <v>51</v>
      </c>
      <c r="BJ42" s="245" t="s">
        <v>39</v>
      </c>
      <c r="BK42" s="210"/>
      <c r="BL42" s="211">
        <f>BL14/BL23</f>
        <v>2.532567049808429</v>
      </c>
      <c r="BM42" s="210"/>
      <c r="BN42" s="210"/>
      <c r="BO42" s="211">
        <f>BO14/BO23</f>
        <v>2.733031674208145</v>
      </c>
      <c r="BP42" s="211">
        <f>BO42-BL42</f>
        <v>0.20046462439971569</v>
      </c>
      <c r="BQ42" s="175">
        <f>BP42/BO42</f>
        <v>0.07334881124559134</v>
      </c>
      <c r="BR42" s="210"/>
      <c r="BS42" s="211">
        <f>BS14/BS23</f>
        <v>2.9102697095435683</v>
      </c>
      <c r="BT42" s="210"/>
      <c r="BU42" s="176"/>
      <c r="BV42" s="212">
        <f>BV14/BV23</f>
        <v>2.780522565320665</v>
      </c>
      <c r="BW42" s="212">
        <f>BV42-BS42</f>
        <v>-0.12974714422290345</v>
      </c>
      <c r="BX42" s="213">
        <f>BW42/BV42</f>
        <v>-0.04666286324777239</v>
      </c>
      <c r="BY42" s="178"/>
      <c r="BZ42" s="211" t="e">
        <f>BZ14/BZ23</f>
        <v>#DIV/0!</v>
      </c>
      <c r="CA42" s="178"/>
      <c r="CB42" s="178"/>
      <c r="CC42" s="245" t="s">
        <v>51</v>
      </c>
      <c r="CD42" s="245" t="s">
        <v>39</v>
      </c>
      <c r="CE42" s="210"/>
      <c r="CF42" s="211">
        <f>CF14/CF23</f>
        <v>3.1218961625282167</v>
      </c>
      <c r="CG42" s="210"/>
      <c r="CH42" s="210"/>
      <c r="CI42" s="211">
        <f>CI14/CI23</f>
        <v>2.713740458015267</v>
      </c>
      <c r="CJ42" s="211">
        <f>CI42-CF42</f>
        <v>-0.4081557045129496</v>
      </c>
      <c r="CK42" s="175">
        <f>CJ42/CI42</f>
        <v>-0.15040336790772546</v>
      </c>
      <c r="CL42" s="210"/>
      <c r="CM42" s="211">
        <f>CM14/CM23</f>
        <v>2.9498102066638547</v>
      </c>
      <c r="CN42" s="210"/>
      <c r="CO42" s="176"/>
      <c r="CP42" s="212">
        <f>CP14/CP23</f>
        <v>2.7672118676302775</v>
      </c>
      <c r="CQ42" s="212">
        <f>CP42-CM42</f>
        <v>-0.18259833903357725</v>
      </c>
      <c r="CR42" s="213">
        <f>CQ42/CP42</f>
        <v>-0.06598639633254634</v>
      </c>
      <c r="CS42" s="178"/>
      <c r="CT42" s="211" t="e">
        <f>CT14/CT23</f>
        <v>#DIV/0!</v>
      </c>
      <c r="CU42" s="178"/>
      <c r="CV42" s="178"/>
      <c r="CW42" s="245" t="s">
        <v>51</v>
      </c>
      <c r="CX42" s="245" t="s">
        <v>39</v>
      </c>
      <c r="CY42" s="210"/>
      <c r="CZ42" s="211">
        <f>CZ14/CZ23</f>
        <v>2.950413223140496</v>
      </c>
      <c r="DA42" s="210"/>
      <c r="DB42" s="210"/>
      <c r="DC42" s="211">
        <f>DC14/DC23</f>
        <v>2.7516930022573365</v>
      </c>
      <c r="DD42" s="211">
        <f>DC42-CZ42</f>
        <v>-0.19872022088315955</v>
      </c>
      <c r="DE42" s="175">
        <f>DD42/DC42</f>
        <v>-0.07221743876229669</v>
      </c>
      <c r="DF42" s="210"/>
      <c r="DG42" s="211">
        <f>DG14/DG23</f>
        <v>2.949912434325744</v>
      </c>
      <c r="DH42" s="210"/>
      <c r="DI42" s="176"/>
      <c r="DJ42" s="212">
        <f>DJ14/DJ23</f>
        <v>2.7649739583333335</v>
      </c>
      <c r="DK42" s="212">
        <f>DJ42-DG42</f>
        <v>-0.18493847599241064</v>
      </c>
      <c r="DL42" s="213">
        <f>DK42/DJ42</f>
        <v>-0.06688615472671126</v>
      </c>
      <c r="DM42" s="178"/>
      <c r="DN42" s="211" t="e">
        <f>DN14/DN23</f>
        <v>#DIV/0!</v>
      </c>
      <c r="DO42" s="178"/>
      <c r="DP42" s="178"/>
      <c r="DQ42" s="245" t="s">
        <v>51</v>
      </c>
      <c r="DR42" s="245" t="s">
        <v>39</v>
      </c>
      <c r="DS42" s="210"/>
      <c r="DT42" s="211">
        <f>DT14/DT23</f>
        <v>2.4190031152647977</v>
      </c>
      <c r="DU42" s="210"/>
      <c r="DV42" s="210"/>
      <c r="DW42" s="211">
        <f>DW14/DW23</f>
        <v>2.722943722943723</v>
      </c>
      <c r="DX42" s="211">
        <f>DW42-DT42</f>
        <v>0.3039406076789253</v>
      </c>
      <c r="DY42" s="175">
        <f>DX42/DW42</f>
        <v>0.11162206736698209</v>
      </c>
      <c r="DZ42" s="210"/>
      <c r="EA42" s="211">
        <f>EA14/EA23</f>
        <v>2.8524449528167</v>
      </c>
      <c r="EB42" s="210"/>
      <c r="EC42" s="176"/>
      <c r="ED42" s="212">
        <f>ED14/ED23</f>
        <v>2.7594793435200904</v>
      </c>
      <c r="EE42" s="212">
        <f>ED42-EA42</f>
        <v>-0.09296560929660957</v>
      </c>
      <c r="EF42" s="213">
        <f>EE42/ED42</f>
        <v>-0.033689547093336575</v>
      </c>
      <c r="EG42" s="178"/>
      <c r="EH42" s="211" t="e">
        <f>EH14/EH23</f>
        <v>#DIV/0!</v>
      </c>
      <c r="EI42" s="178"/>
      <c r="EJ42" s="178"/>
      <c r="EK42" s="245" t="s">
        <v>51</v>
      </c>
      <c r="EL42" s="245" t="s">
        <v>39</v>
      </c>
      <c r="EM42" s="210"/>
      <c r="EN42" s="211">
        <f>EN14/EN23</f>
        <v>4.586580086580087</v>
      </c>
      <c r="EO42" s="210"/>
      <c r="EP42" s="210"/>
      <c r="EQ42" s="211">
        <f>EQ14/EQ23</f>
        <v>3.304909560723514</v>
      </c>
      <c r="ER42" s="211">
        <f>EQ42-EN42</f>
        <v>-1.2816705258565726</v>
      </c>
      <c r="ES42" s="175">
        <f>ER42/EQ42</f>
        <v>-0.3878080480895181</v>
      </c>
      <c r="ET42" s="210"/>
      <c r="EU42" s="211">
        <f>EU14/EU23</f>
        <v>3.0548118211669615</v>
      </c>
      <c r="EV42" s="210"/>
      <c r="EW42" s="176"/>
      <c r="EX42" s="212">
        <f>EX14/EX23</f>
        <v>2.8133129303749045</v>
      </c>
      <c r="EY42" s="212">
        <f>EX42-EU42</f>
        <v>-0.241498890792057</v>
      </c>
      <c r="EZ42" s="213">
        <f>EY42/EX42</f>
        <v>-0.08584146050182716</v>
      </c>
      <c r="FA42" s="178"/>
      <c r="FB42" s="211" t="e">
        <f>FB14/FB23</f>
        <v>#DIV/0!</v>
      </c>
      <c r="FC42" s="178"/>
      <c r="FD42" s="178"/>
      <c r="FE42" s="245" t="s">
        <v>51</v>
      </c>
      <c r="FF42" s="245" t="s">
        <v>39</v>
      </c>
      <c r="FG42" s="210"/>
      <c r="FH42" s="211">
        <f>FH14/FH23</f>
        <v>2.5470941883767537</v>
      </c>
      <c r="FI42" s="210"/>
      <c r="FJ42" s="210"/>
      <c r="FK42" s="211">
        <f>FK14/FK23</f>
        <v>2.5452830188679245</v>
      </c>
      <c r="FL42" s="211">
        <f>FK42-FH42</f>
        <v>-0.0018111695088292024</v>
      </c>
      <c r="FM42" s="175">
        <f>FL42/FK42</f>
        <v>-0.0007115788285244457</v>
      </c>
      <c r="FN42" s="210"/>
      <c r="FO42" s="211">
        <f>FO14/FO23</f>
        <v>2.9979811574697175</v>
      </c>
      <c r="FP42" s="210"/>
      <c r="FQ42" s="176"/>
      <c r="FR42" s="212">
        <f>FR14/FR23</f>
        <v>2.7813974387778027</v>
      </c>
      <c r="FS42" s="212">
        <f>FR42-FO42</f>
        <v>-0.21658371869191484</v>
      </c>
      <c r="FT42" s="213">
        <f>FS42/FR42</f>
        <v>-0.07786866978172156</v>
      </c>
      <c r="FU42" s="178"/>
      <c r="FV42" s="211" t="e">
        <f>FV14/FV23</f>
        <v>#DIV/0!</v>
      </c>
      <c r="FW42" s="178"/>
      <c r="FX42" s="178"/>
      <c r="FY42" s="245" t="s">
        <v>51</v>
      </c>
      <c r="FZ42" s="245" t="s">
        <v>39</v>
      </c>
      <c r="GA42" s="210"/>
      <c r="GB42" s="211">
        <f>GB14/GB23</f>
        <v>2.7941787941787943</v>
      </c>
      <c r="GC42" s="210"/>
      <c r="GD42" s="210"/>
      <c r="GE42" s="211">
        <f>GE14/GE23</f>
        <v>2.85785536159601</v>
      </c>
      <c r="GF42" s="211">
        <f>GE42-GB42</f>
        <v>0.0636765674172155</v>
      </c>
      <c r="GG42" s="175">
        <f>GF42/GE42</f>
        <v>0.022281242176530033</v>
      </c>
      <c r="GH42" s="210"/>
      <c r="GI42" s="211">
        <f>GI14/GI23</f>
        <v>2.978133225349261</v>
      </c>
      <c r="GJ42" s="210"/>
      <c r="GK42" s="176"/>
      <c r="GL42" s="212">
        <f>GL14/GL23</f>
        <v>2.7877164056059356</v>
      </c>
      <c r="GM42" s="212">
        <f>GL42-GI42</f>
        <v>-0.19041681974332558</v>
      </c>
      <c r="GN42" s="213">
        <f>GM42/GL42</f>
        <v>-0.06830566386179326</v>
      </c>
      <c r="GO42" s="178"/>
      <c r="GP42" s="211" t="e">
        <f>GP14/GP23</f>
        <v>#DIV/0!</v>
      </c>
      <c r="GQ42" s="178"/>
      <c r="GR42" s="178"/>
      <c r="GS42" s="245" t="s">
        <v>51</v>
      </c>
      <c r="GT42" s="245" t="s">
        <v>39</v>
      </c>
      <c r="GU42" s="210"/>
      <c r="GV42" s="211">
        <f>GV14/GV23</f>
        <v>2.775413711583924</v>
      </c>
      <c r="GW42" s="210"/>
      <c r="GX42" s="210"/>
      <c r="GY42" s="211">
        <f>GY14/GY23</f>
        <v>2.9</v>
      </c>
      <c r="GZ42" s="211">
        <f>GY42-GV42</f>
        <v>0.12458628841607577</v>
      </c>
      <c r="HA42" s="175">
        <f>GZ42/GY42</f>
        <v>0.04296078910899165</v>
      </c>
      <c r="HB42" s="210"/>
      <c r="HC42" s="211">
        <f>HC14/HC23</f>
        <v>2.962140992167102</v>
      </c>
      <c r="HD42" s="210"/>
      <c r="HE42" s="176"/>
      <c r="HF42" s="212">
        <f>HF14/HF23</f>
        <v>2.7976324689966177</v>
      </c>
      <c r="HG42" s="212">
        <f>HF42-HC42</f>
        <v>-0.16450852317048437</v>
      </c>
      <c r="HH42" s="213">
        <f>HG42/HF42</f>
        <v>-0.058802764478025245</v>
      </c>
      <c r="HI42" s="178"/>
      <c r="HJ42" s="211" t="e">
        <f>HJ14/HJ23</f>
        <v>#DIV/0!</v>
      </c>
      <c r="HK42" s="178"/>
      <c r="HL42" s="178"/>
      <c r="HM42" s="245" t="s">
        <v>51</v>
      </c>
      <c r="HN42" s="245" t="s">
        <v>39</v>
      </c>
      <c r="HO42" s="210"/>
      <c r="HP42" s="211">
        <f>HP14/HP23</f>
        <v>3.0760233918128654</v>
      </c>
      <c r="HQ42" s="210"/>
      <c r="HR42" s="210"/>
      <c r="HS42" s="211">
        <f>HS14/HS23</f>
        <v>2.7096114519427403</v>
      </c>
      <c r="HT42" s="211">
        <f>HS42-HP42</f>
        <v>-0.3664119398701251</v>
      </c>
      <c r="HU42" s="175">
        <f>HT42/HS42</f>
        <v>-0.13522674611055938</v>
      </c>
      <c r="HV42" s="210"/>
      <c r="HW42" s="211">
        <f>HW14/HW23</f>
        <v>2.9720851063829787</v>
      </c>
      <c r="HX42" s="210"/>
      <c r="HY42" s="176"/>
      <c r="HZ42" s="212">
        <f>HZ14/HZ23</f>
        <v>2.7902254345207367</v>
      </c>
      <c r="IA42" s="212">
        <f>HZ42-HW42</f>
        <v>-0.18185967186224206</v>
      </c>
      <c r="IB42" s="213">
        <f>IA42/HZ42</f>
        <v>-0.06517741169307317</v>
      </c>
      <c r="IC42" s="178"/>
      <c r="ID42" s="211" t="e">
        <f>ID14/ID23</f>
        <v>#DIV/0!</v>
      </c>
      <c r="IE42" s="178"/>
      <c r="IF42" s="178"/>
    </row>
    <row r="43" spans="1:240" ht="13.5" thickBot="1">
      <c r="A43" s="242"/>
      <c r="B43" s="348" t="s">
        <v>40</v>
      </c>
      <c r="C43" s="214"/>
      <c r="D43" s="182">
        <f>D15/D24</f>
        <v>1</v>
      </c>
      <c r="E43" s="214"/>
      <c r="F43" s="214"/>
      <c r="G43" s="182">
        <f>G15/G24</f>
        <v>1</v>
      </c>
      <c r="H43" s="182">
        <f t="shared" si="54"/>
        <v>0</v>
      </c>
      <c r="I43" s="183">
        <f t="shared" si="55"/>
        <v>0</v>
      </c>
      <c r="J43" s="214"/>
      <c r="K43" s="182">
        <f>K15/K24</f>
        <v>1</v>
      </c>
      <c r="L43" s="214"/>
      <c r="M43" s="184"/>
      <c r="N43" s="215">
        <f>N15/N24</f>
        <v>1</v>
      </c>
      <c r="O43" s="215">
        <f t="shared" si="49"/>
        <v>0</v>
      </c>
      <c r="P43" s="216">
        <f t="shared" si="48"/>
        <v>0</v>
      </c>
      <c r="Q43" s="178"/>
      <c r="R43" s="182">
        <f>R15/R24</f>
        <v>1</v>
      </c>
      <c r="S43" s="178"/>
      <c r="T43" s="178"/>
      <c r="U43" s="242"/>
      <c r="V43" s="360" t="s">
        <v>40</v>
      </c>
      <c r="W43" s="221"/>
      <c r="X43" s="217">
        <f>X15/X24</f>
        <v>0.9807692307692307</v>
      </c>
      <c r="Y43" s="221"/>
      <c r="Z43" s="221"/>
      <c r="AA43" s="217">
        <f>AA15/AA24</f>
        <v>1.2894736842105263</v>
      </c>
      <c r="AB43" s="217">
        <f t="shared" si="56"/>
        <v>0.3087044534412956</v>
      </c>
      <c r="AC43" s="205">
        <f>AB43/AA43</f>
        <v>0.23940345368916802</v>
      </c>
      <c r="AD43" s="221"/>
      <c r="AE43" s="217">
        <f>AE15/AE24</f>
        <v>0.9921875</v>
      </c>
      <c r="AF43" s="221"/>
      <c r="AG43" s="223"/>
      <c r="AH43" s="224">
        <f>AH15/AH24</f>
        <v>1.1111111111111112</v>
      </c>
      <c r="AI43" s="224">
        <f t="shared" si="57"/>
        <v>0.11892361111111116</v>
      </c>
      <c r="AJ43" s="225">
        <f t="shared" si="58"/>
        <v>0.10703125000000004</v>
      </c>
      <c r="AK43" s="178"/>
      <c r="AL43" s="182" t="e">
        <f>AL15/AL24</f>
        <v>#DIV/0!</v>
      </c>
      <c r="AM43" s="178"/>
      <c r="AN43" s="178"/>
      <c r="AO43" s="243"/>
      <c r="AP43" s="248" t="s">
        <v>40</v>
      </c>
      <c r="AQ43" s="221"/>
      <c r="AR43" s="217">
        <f>AR15/AR24</f>
        <v>1</v>
      </c>
      <c r="AS43" s="221"/>
      <c r="AT43" s="221"/>
      <c r="AU43" s="217">
        <f>AU15/AU24</f>
        <v>1.0135135135135136</v>
      </c>
      <c r="AV43" s="217">
        <f>AU43-AR43</f>
        <v>0.013513513513513598</v>
      </c>
      <c r="AW43" s="205">
        <f>AV43/AU43</f>
        <v>0.013333333333333416</v>
      </c>
      <c r="AX43" s="221"/>
      <c r="AY43" s="217">
        <f>AY15/AY24</f>
        <v>0.9945054945054945</v>
      </c>
      <c r="AZ43" s="221"/>
      <c r="BA43" s="223"/>
      <c r="BB43" s="224">
        <f>BB15/BB24</f>
        <v>1.069364161849711</v>
      </c>
      <c r="BC43" s="224">
        <f>BB43-AY43</f>
        <v>0.07485866734421642</v>
      </c>
      <c r="BD43" s="225">
        <f>BC43/BB43</f>
        <v>0.07000297000296996</v>
      </c>
      <c r="BE43" s="178"/>
      <c r="BF43" s="182" t="e">
        <f>BF15/BF24</f>
        <v>#DIV/0!</v>
      </c>
      <c r="BG43" s="178"/>
      <c r="BH43" s="178"/>
      <c r="BI43" s="243"/>
      <c r="BJ43" s="248" t="s">
        <v>40</v>
      </c>
      <c r="BK43" s="221"/>
      <c r="BL43" s="217">
        <f>BL15/BL24</f>
        <v>1</v>
      </c>
      <c r="BM43" s="221"/>
      <c r="BN43" s="221"/>
      <c r="BO43" s="217">
        <f>BO15/BO24</f>
        <v>1.1515151515151516</v>
      </c>
      <c r="BP43" s="217">
        <f>BO43-BL43</f>
        <v>0.1515151515151516</v>
      </c>
      <c r="BQ43" s="205">
        <f>BP43/BO43</f>
        <v>0.13157894736842113</v>
      </c>
      <c r="BR43" s="221"/>
      <c r="BS43" s="217">
        <f>BS15/BS24</f>
        <v>0.9957446808510638</v>
      </c>
      <c r="BT43" s="221"/>
      <c r="BU43" s="223"/>
      <c r="BV43" s="224">
        <f>BV15/BV24</f>
        <v>1.0920502092050208</v>
      </c>
      <c r="BW43" s="224">
        <f>BV43-BS43</f>
        <v>0.096305528353957</v>
      </c>
      <c r="BX43" s="225">
        <f>BW43/BV43</f>
        <v>0.08818782098312539</v>
      </c>
      <c r="BY43" s="178"/>
      <c r="BZ43" s="182" t="e">
        <f>BZ15/BZ24</f>
        <v>#DIV/0!</v>
      </c>
      <c r="CA43" s="178"/>
      <c r="CB43" s="178"/>
      <c r="CC43" s="243"/>
      <c r="CD43" s="248" t="s">
        <v>40</v>
      </c>
      <c r="CE43" s="221"/>
      <c r="CF43" s="217">
        <f>CF15/CF24</f>
        <v>0.9827586206896551</v>
      </c>
      <c r="CG43" s="221"/>
      <c r="CH43" s="221"/>
      <c r="CI43" s="217">
        <f>CI15/CI24</f>
        <v>1.0151515151515151</v>
      </c>
      <c r="CJ43" s="217">
        <f>CI43-CF43</f>
        <v>0.03239289446186</v>
      </c>
      <c r="CK43" s="205">
        <f>CJ43/CI43</f>
        <v>0.03190941842511582</v>
      </c>
      <c r="CL43" s="221"/>
      <c r="CM43" s="217">
        <f>CM15/CM24</f>
        <v>0.9931740614334471</v>
      </c>
      <c r="CN43" s="221"/>
      <c r="CO43" s="223"/>
      <c r="CP43" s="224">
        <f>CP15/CP24</f>
        <v>1.0754098360655737</v>
      </c>
      <c r="CQ43" s="224">
        <f>CP43-CM43</f>
        <v>0.08223577463212661</v>
      </c>
      <c r="CR43" s="225">
        <f>CQ43/CP43</f>
        <v>0.07646924165487383</v>
      </c>
      <c r="CS43" s="178"/>
      <c r="CT43" s="182" t="e">
        <f>CT15/CT24</f>
        <v>#DIV/0!</v>
      </c>
      <c r="CU43" s="178"/>
      <c r="CV43" s="178"/>
      <c r="CW43" s="243"/>
      <c r="CX43" s="248" t="s">
        <v>40</v>
      </c>
      <c r="CY43" s="221"/>
      <c r="CZ43" s="217">
        <f>CZ15/CZ24</f>
        <v>1</v>
      </c>
      <c r="DA43" s="221"/>
      <c r="DB43" s="221"/>
      <c r="DC43" s="217">
        <f>DC15/DC24</f>
        <v>0.9795918367346939</v>
      </c>
      <c r="DD43" s="217">
        <f>DC43-CZ43</f>
        <v>-0.020408163265306145</v>
      </c>
      <c r="DE43" s="205">
        <f>DD43/DC43</f>
        <v>-0.020833333333333356</v>
      </c>
      <c r="DF43" s="221"/>
      <c r="DG43" s="217">
        <f>DG15/DG24</f>
        <v>0.9943502824858758</v>
      </c>
      <c r="DH43" s="221"/>
      <c r="DI43" s="223"/>
      <c r="DJ43" s="224">
        <f>DJ15/DJ24</f>
        <v>1.0621468926553672</v>
      </c>
      <c r="DK43" s="224">
        <f>DJ43-DG43</f>
        <v>0.06779661016949146</v>
      </c>
      <c r="DL43" s="225">
        <f>DK43/DJ43</f>
        <v>0.06382978723404249</v>
      </c>
      <c r="DM43" s="178"/>
      <c r="DN43" s="182" t="e">
        <f>DN15/DN24</f>
        <v>#DIV/0!</v>
      </c>
      <c r="DO43" s="178"/>
      <c r="DP43" s="178"/>
      <c r="DQ43" s="243"/>
      <c r="DR43" s="248" t="s">
        <v>40</v>
      </c>
      <c r="DS43" s="221"/>
      <c r="DT43" s="217">
        <f>DT15/DT24</f>
        <v>1</v>
      </c>
      <c r="DU43" s="221"/>
      <c r="DV43" s="221"/>
      <c r="DW43" s="217">
        <f>DW15/DW24</f>
        <v>0.8253968253968254</v>
      </c>
      <c r="DX43" s="217">
        <f>DW43-DT43</f>
        <v>-0.17460317460317465</v>
      </c>
      <c r="DY43" s="205">
        <f>DX43/DW43</f>
        <v>-0.21153846153846162</v>
      </c>
      <c r="DZ43" s="221"/>
      <c r="EA43" s="217">
        <f>EA15/EA24</f>
        <v>0.9953488372093023</v>
      </c>
      <c r="EB43" s="221"/>
      <c r="EC43" s="223"/>
      <c r="ED43" s="224">
        <f>ED15/ED24</f>
        <v>1.026378896882494</v>
      </c>
      <c r="EE43" s="224">
        <f>ED43-EA43</f>
        <v>0.031030059673191723</v>
      </c>
      <c r="EF43" s="225">
        <f>EE43/ED43</f>
        <v>0.030232558139534925</v>
      </c>
      <c r="EG43" s="178"/>
      <c r="EH43" s="182" t="e">
        <f>EH15/EH24</f>
        <v>#DIV/0!</v>
      </c>
      <c r="EI43" s="178"/>
      <c r="EJ43" s="178"/>
      <c r="EK43" s="243"/>
      <c r="EL43" s="248" t="s">
        <v>40</v>
      </c>
      <c r="EM43" s="221"/>
      <c r="EN43" s="217">
        <f>EN15/EN24</f>
        <v>1.015625</v>
      </c>
      <c r="EO43" s="221"/>
      <c r="EP43" s="221"/>
      <c r="EQ43" s="217">
        <f>EQ15/EQ24</f>
        <v>1</v>
      </c>
      <c r="ER43" s="217">
        <f>EQ43-EN43</f>
        <v>-0.015625</v>
      </c>
      <c r="ES43" s="205">
        <f>ER43/EQ43</f>
        <v>-0.015625</v>
      </c>
      <c r="ET43" s="221"/>
      <c r="EU43" s="217">
        <f>EU15/EU24</f>
        <v>0.9979757085020243</v>
      </c>
      <c r="EV43" s="221"/>
      <c r="EW43" s="223"/>
      <c r="EX43" s="224">
        <f>EX15/EX24</f>
        <v>1.0230607966457024</v>
      </c>
      <c r="EY43" s="224">
        <f>EX43-EU43</f>
        <v>0.025085088143678047</v>
      </c>
      <c r="EZ43" s="225">
        <f>EY43/EX43</f>
        <v>0.02451964558306235</v>
      </c>
      <c r="FA43" s="178"/>
      <c r="FB43" s="182" t="e">
        <f>FB15/FB24</f>
        <v>#DIV/0!</v>
      </c>
      <c r="FC43" s="178"/>
      <c r="FD43" s="178"/>
      <c r="FE43" s="243"/>
      <c r="FF43" s="248" t="s">
        <v>40</v>
      </c>
      <c r="FG43" s="221"/>
      <c r="FH43" s="217">
        <f>FH15/FH24</f>
        <v>0.9791666666666666</v>
      </c>
      <c r="FI43" s="221"/>
      <c r="FJ43" s="221"/>
      <c r="FK43" s="217">
        <f>FK15/FK24</f>
        <v>1</v>
      </c>
      <c r="FL43" s="217">
        <f>FK43-FH43</f>
        <v>0.02083333333333337</v>
      </c>
      <c r="FM43" s="205">
        <f>FL43/FK43</f>
        <v>0.02083333333333337</v>
      </c>
      <c r="FN43" s="221"/>
      <c r="FO43" s="217">
        <f>FO15/FO24</f>
        <v>0.996309963099631</v>
      </c>
      <c r="FP43" s="221"/>
      <c r="FQ43" s="223"/>
      <c r="FR43" s="224">
        <f>FR15/FR24</f>
        <v>1.0207156308851224</v>
      </c>
      <c r="FS43" s="224">
        <f>FR43-FO43</f>
        <v>0.02440566778549136</v>
      </c>
      <c r="FT43" s="225">
        <f>FS43/FR43</f>
        <v>0.023910349804605</v>
      </c>
      <c r="FU43" s="178"/>
      <c r="FV43" s="182" t="e">
        <f>FV15/FV24</f>
        <v>#DIV/0!</v>
      </c>
      <c r="FW43" s="178"/>
      <c r="FX43" s="178"/>
      <c r="FY43" s="243"/>
      <c r="FZ43" s="248" t="s">
        <v>40</v>
      </c>
      <c r="GA43" s="221"/>
      <c r="GB43" s="217">
        <f>GB15/GB24</f>
        <v>1</v>
      </c>
      <c r="GC43" s="221"/>
      <c r="GD43" s="221"/>
      <c r="GE43" s="217">
        <f>GE15/GE24</f>
        <v>1</v>
      </c>
      <c r="GF43" s="217">
        <f>GE43-GB43</f>
        <v>0</v>
      </c>
      <c r="GG43" s="205">
        <f>GF43/GE43</f>
        <v>0</v>
      </c>
      <c r="GH43" s="221"/>
      <c r="GI43" s="217">
        <f>GI15/GI24</f>
        <v>0.9965217391304347</v>
      </c>
      <c r="GJ43" s="221"/>
      <c r="GK43" s="223"/>
      <c r="GL43" s="224">
        <f>GL15/GL24</f>
        <v>1.0193661971830985</v>
      </c>
      <c r="GM43" s="224">
        <f>GL43-GI43</f>
        <v>0.022844458052663774</v>
      </c>
      <c r="GN43" s="225">
        <f>GM43/GL43</f>
        <v>0.022410452804685708</v>
      </c>
      <c r="GO43" s="178"/>
      <c r="GP43" s="182" t="e">
        <f>GP15/GP24</f>
        <v>#DIV/0!</v>
      </c>
      <c r="GQ43" s="178"/>
      <c r="GR43" s="178"/>
      <c r="GS43" s="243"/>
      <c r="GT43" s="248" t="s">
        <v>40</v>
      </c>
      <c r="GU43" s="221"/>
      <c r="GV43" s="217">
        <f>GV15/GV24</f>
        <v>1</v>
      </c>
      <c r="GW43" s="221"/>
      <c r="GX43" s="221"/>
      <c r="GY43" s="217">
        <f>GY15/GY24</f>
        <v>0.9824561403508771</v>
      </c>
      <c r="GZ43" s="217">
        <f>GY43-GV43</f>
        <v>-0.01754385964912286</v>
      </c>
      <c r="HA43" s="205">
        <f>GZ43/GY43</f>
        <v>-0.017857142857142915</v>
      </c>
      <c r="HB43" s="221"/>
      <c r="HC43" s="217">
        <f>HC15/HC24</f>
        <v>0.9967266775777414</v>
      </c>
      <c r="HD43" s="221"/>
      <c r="HE43" s="223"/>
      <c r="HF43" s="224">
        <f>HF15/HF24</f>
        <v>1.016</v>
      </c>
      <c r="HG43" s="224">
        <f>HF43-HC43</f>
        <v>0.019273322422258654</v>
      </c>
      <c r="HH43" s="225">
        <f>HG43/HF43</f>
        <v>0.018969805533719148</v>
      </c>
      <c r="HI43" s="178"/>
      <c r="HJ43" s="182" t="e">
        <f>HJ15/HJ24</f>
        <v>#DIV/0!</v>
      </c>
      <c r="HK43" s="178"/>
      <c r="HL43" s="178"/>
      <c r="HM43" s="243"/>
      <c r="HN43" s="248" t="s">
        <v>40</v>
      </c>
      <c r="HO43" s="221"/>
      <c r="HP43" s="217">
        <f>HP15/HP24</f>
        <v>1</v>
      </c>
      <c r="HQ43" s="221"/>
      <c r="HR43" s="221"/>
      <c r="HS43" s="217">
        <f>HS15/HS24</f>
        <v>1</v>
      </c>
      <c r="HT43" s="217">
        <f>HS43-HP43</f>
        <v>0</v>
      </c>
      <c r="HU43" s="205">
        <f>HT43/HS43</f>
        <v>0</v>
      </c>
      <c r="HV43" s="221"/>
      <c r="HW43" s="217">
        <f>HW15/HW24</f>
        <v>0.9969834087481146</v>
      </c>
      <c r="HX43" s="221"/>
      <c r="HY43" s="223"/>
      <c r="HZ43" s="224">
        <f>HZ15/HZ24</f>
        <v>1.0141242937853108</v>
      </c>
      <c r="IA43" s="224">
        <f>HZ43-HW43</f>
        <v>0.01714088503719613</v>
      </c>
      <c r="IB43" s="225">
        <f>IA43/HZ43</f>
        <v>0.01690215404782014</v>
      </c>
      <c r="IC43" s="178"/>
      <c r="ID43" s="182" t="e">
        <f>ID15/ID24</f>
        <v>#DIV/0!</v>
      </c>
      <c r="IE43" s="178"/>
      <c r="IF43" s="178"/>
    </row>
    <row r="44" spans="1:240" ht="13.5" thickBot="1">
      <c r="A44" s="243"/>
      <c r="B44" s="348" t="s">
        <v>211</v>
      </c>
      <c r="C44" s="214"/>
      <c r="D44" s="182">
        <f>D16/D25</f>
        <v>2.739130434782609</v>
      </c>
      <c r="E44" s="214"/>
      <c r="F44" s="214"/>
      <c r="G44" s="182">
        <f>G16/G25</f>
        <v>1</v>
      </c>
      <c r="H44" s="182">
        <f t="shared" si="54"/>
        <v>-1.7391304347826089</v>
      </c>
      <c r="I44" s="183">
        <f t="shared" si="55"/>
        <v>-1.7391304347826089</v>
      </c>
      <c r="J44" s="214"/>
      <c r="K44" s="182">
        <f>K16/K25</f>
        <v>2.739130434782609</v>
      </c>
      <c r="L44" s="214"/>
      <c r="M44" s="184"/>
      <c r="N44" s="215">
        <f>N16/N25</f>
        <v>1</v>
      </c>
      <c r="O44" s="215">
        <f t="shared" si="49"/>
        <v>-1.7391304347826089</v>
      </c>
      <c r="P44" s="216">
        <f t="shared" si="48"/>
        <v>-1.7391304347826089</v>
      </c>
      <c r="Q44" s="352"/>
      <c r="R44" s="182">
        <f>R16/R25</f>
        <v>2.739130434782609</v>
      </c>
      <c r="S44" s="352"/>
      <c r="T44" s="266"/>
      <c r="U44" s="242"/>
      <c r="V44" s="360" t="s">
        <v>211</v>
      </c>
      <c r="W44" s="214"/>
      <c r="X44" s="182">
        <f>X16/X25</f>
        <v>3.4782608695652173</v>
      </c>
      <c r="Y44" s="214"/>
      <c r="Z44" s="214"/>
      <c r="AA44" s="182">
        <f>(AA17+AA19)/AA22</f>
        <v>1.5740149094781684</v>
      </c>
      <c r="AB44" s="182">
        <f t="shared" si="56"/>
        <v>-1.904245960087049</v>
      </c>
      <c r="AC44" s="183">
        <f>AB44/AA44</f>
        <v>-1.2098017297170087</v>
      </c>
      <c r="AD44" s="214"/>
      <c r="AE44" s="211">
        <f>AE16/AE25</f>
        <v>3.108695652173913</v>
      </c>
      <c r="AF44" s="214"/>
      <c r="AG44" s="184"/>
      <c r="AH44" s="224">
        <f>AH16/AH25</f>
        <v>1</v>
      </c>
      <c r="AI44" s="224">
        <f t="shared" si="57"/>
        <v>-2.108695652173913</v>
      </c>
      <c r="AJ44" s="225">
        <f t="shared" si="58"/>
        <v>-2.108695652173913</v>
      </c>
      <c r="AK44" s="178"/>
      <c r="AL44" s="182"/>
      <c r="AM44" s="178"/>
      <c r="AN44" s="178"/>
      <c r="AO44" s="243"/>
      <c r="AP44" s="248"/>
      <c r="AQ44" s="214"/>
      <c r="AR44" s="182"/>
      <c r="AS44" s="214"/>
      <c r="AT44" s="214"/>
      <c r="AU44" s="182"/>
      <c r="AV44" s="182"/>
      <c r="AW44" s="183"/>
      <c r="AX44" s="214"/>
      <c r="AY44" s="182"/>
      <c r="AZ44" s="214"/>
      <c r="BA44" s="184"/>
      <c r="BB44" s="215"/>
      <c r="BC44" s="215"/>
      <c r="BD44" s="216"/>
      <c r="BE44" s="178"/>
      <c r="BF44" s="182"/>
      <c r="BG44" s="178"/>
      <c r="BH44" s="178"/>
      <c r="BI44" s="243"/>
      <c r="BJ44" s="248"/>
      <c r="BK44" s="214"/>
      <c r="BL44" s="182"/>
      <c r="BM44" s="214"/>
      <c r="BN44" s="214"/>
      <c r="BO44" s="182"/>
      <c r="BP44" s="182"/>
      <c r="BQ44" s="183"/>
      <c r="BR44" s="214"/>
      <c r="BS44" s="182"/>
      <c r="BT44" s="214"/>
      <c r="BU44" s="184"/>
      <c r="BV44" s="215"/>
      <c r="BW44" s="215"/>
      <c r="BX44" s="216"/>
      <c r="BY44" s="178"/>
      <c r="BZ44" s="182"/>
      <c r="CA44" s="178"/>
      <c r="CB44" s="178"/>
      <c r="CC44" s="243"/>
      <c r="CD44" s="248"/>
      <c r="CE44" s="214"/>
      <c r="CF44" s="182"/>
      <c r="CG44" s="214"/>
      <c r="CH44" s="214"/>
      <c r="CI44" s="182"/>
      <c r="CJ44" s="182"/>
      <c r="CK44" s="183"/>
      <c r="CL44" s="214"/>
      <c r="CM44" s="182"/>
      <c r="CN44" s="214"/>
      <c r="CO44" s="184"/>
      <c r="CP44" s="215"/>
      <c r="CQ44" s="215"/>
      <c r="CR44" s="216"/>
      <c r="CS44" s="178"/>
      <c r="CT44" s="182"/>
      <c r="CU44" s="178"/>
      <c r="CV44" s="178"/>
      <c r="CW44" s="243"/>
      <c r="CX44" s="248"/>
      <c r="CY44" s="214"/>
      <c r="CZ44" s="182"/>
      <c r="DA44" s="214"/>
      <c r="DB44" s="214"/>
      <c r="DC44" s="182"/>
      <c r="DD44" s="182"/>
      <c r="DE44" s="183"/>
      <c r="DF44" s="214"/>
      <c r="DG44" s="182"/>
      <c r="DH44" s="214"/>
      <c r="DI44" s="184"/>
      <c r="DJ44" s="215"/>
      <c r="DK44" s="215"/>
      <c r="DL44" s="216"/>
      <c r="DM44" s="178"/>
      <c r="DN44" s="182"/>
      <c r="DO44" s="178"/>
      <c r="DP44" s="178"/>
      <c r="DQ44" s="243"/>
      <c r="DR44" s="248"/>
      <c r="DS44" s="214"/>
      <c r="DT44" s="182"/>
      <c r="DU44" s="214"/>
      <c r="DV44" s="214"/>
      <c r="DW44" s="182"/>
      <c r="DX44" s="182"/>
      <c r="DY44" s="183"/>
      <c r="DZ44" s="214"/>
      <c r="EA44" s="182"/>
      <c r="EB44" s="214"/>
      <c r="EC44" s="184"/>
      <c r="ED44" s="215"/>
      <c r="EE44" s="215"/>
      <c r="EF44" s="216"/>
      <c r="EG44" s="178"/>
      <c r="EH44" s="182"/>
      <c r="EI44" s="178"/>
      <c r="EJ44" s="178"/>
      <c r="EK44" s="243"/>
      <c r="EL44" s="248"/>
      <c r="EM44" s="214"/>
      <c r="EN44" s="182"/>
      <c r="EO44" s="214"/>
      <c r="EP44" s="214"/>
      <c r="EQ44" s="182"/>
      <c r="ER44" s="182"/>
      <c r="ES44" s="183"/>
      <c r="ET44" s="214"/>
      <c r="EU44" s="182"/>
      <c r="EV44" s="214"/>
      <c r="EW44" s="184"/>
      <c r="EX44" s="215"/>
      <c r="EY44" s="215"/>
      <c r="EZ44" s="216"/>
      <c r="FA44" s="178"/>
      <c r="FB44" s="182"/>
      <c r="FC44" s="178"/>
      <c r="FD44" s="178"/>
      <c r="FE44" s="243"/>
      <c r="FF44" s="248"/>
      <c r="FG44" s="214"/>
      <c r="FH44" s="182"/>
      <c r="FI44" s="214"/>
      <c r="FJ44" s="214"/>
      <c r="FK44" s="182"/>
      <c r="FL44" s="182"/>
      <c r="FM44" s="183"/>
      <c r="FN44" s="214"/>
      <c r="FO44" s="182"/>
      <c r="FP44" s="214"/>
      <c r="FQ44" s="184"/>
      <c r="FR44" s="215"/>
      <c r="FS44" s="215"/>
      <c r="FT44" s="216"/>
      <c r="FU44" s="178"/>
      <c r="FV44" s="182"/>
      <c r="FW44" s="178"/>
      <c r="FX44" s="178"/>
      <c r="FY44" s="243"/>
      <c r="FZ44" s="248"/>
      <c r="GA44" s="214"/>
      <c r="GB44" s="182"/>
      <c r="GC44" s="214"/>
      <c r="GD44" s="214"/>
      <c r="GE44" s="182"/>
      <c r="GF44" s="182"/>
      <c r="GG44" s="183"/>
      <c r="GH44" s="214"/>
      <c r="GI44" s="182"/>
      <c r="GJ44" s="214"/>
      <c r="GK44" s="184"/>
      <c r="GL44" s="215"/>
      <c r="GM44" s="215"/>
      <c r="GN44" s="216"/>
      <c r="GO44" s="178"/>
      <c r="GP44" s="182"/>
      <c r="GQ44" s="178"/>
      <c r="GR44" s="178"/>
      <c r="GS44" s="243"/>
      <c r="GT44" s="248"/>
      <c r="GU44" s="214"/>
      <c r="GV44" s="182"/>
      <c r="GW44" s="214"/>
      <c r="GX44" s="214"/>
      <c r="GY44" s="182"/>
      <c r="GZ44" s="182"/>
      <c r="HA44" s="183"/>
      <c r="HB44" s="214"/>
      <c r="HC44" s="182"/>
      <c r="HD44" s="214"/>
      <c r="HE44" s="184"/>
      <c r="HF44" s="215"/>
      <c r="HG44" s="215"/>
      <c r="HH44" s="216"/>
      <c r="HI44" s="178"/>
      <c r="HJ44" s="182"/>
      <c r="HK44" s="178"/>
      <c r="HL44" s="178"/>
      <c r="HM44" s="243"/>
      <c r="HN44" s="248"/>
      <c r="HO44" s="214"/>
      <c r="HP44" s="182"/>
      <c r="HQ44" s="214"/>
      <c r="HR44" s="214"/>
      <c r="HS44" s="182"/>
      <c r="HT44" s="182"/>
      <c r="HU44" s="183"/>
      <c r="HV44" s="214"/>
      <c r="HW44" s="182"/>
      <c r="HX44" s="214"/>
      <c r="HY44" s="184"/>
      <c r="HZ44" s="215"/>
      <c r="IA44" s="215"/>
      <c r="IB44" s="216"/>
      <c r="IC44" s="178"/>
      <c r="ID44" s="182"/>
      <c r="IE44" s="178"/>
      <c r="IF44" s="178"/>
    </row>
    <row r="45" spans="1:240" ht="13.5" thickBot="1">
      <c r="A45" s="245" t="s">
        <v>52</v>
      </c>
      <c r="B45" s="365" t="s">
        <v>39</v>
      </c>
      <c r="C45" s="210"/>
      <c r="D45" s="211">
        <f>(D18+D20)/D23</f>
        <v>1.540983606557377</v>
      </c>
      <c r="E45" s="210"/>
      <c r="F45" s="210"/>
      <c r="G45" s="211">
        <f>(G18+G20)/G23</f>
        <v>0.9106628242074928</v>
      </c>
      <c r="H45" s="211">
        <f t="shared" si="54"/>
        <v>-0.6303207823498842</v>
      </c>
      <c r="I45" s="175">
        <f t="shared" si="55"/>
        <v>-0.6921560489728159</v>
      </c>
      <c r="J45" s="210"/>
      <c r="K45" s="211">
        <f>(K18+K20)/K23</f>
        <v>1.540983606557377</v>
      </c>
      <c r="L45" s="210"/>
      <c r="M45" s="176"/>
      <c r="N45" s="212">
        <f>(N18+N20)/N23</f>
        <v>0.9106628242074928</v>
      </c>
      <c r="O45" s="212">
        <f t="shared" si="49"/>
        <v>-0.6303207823498842</v>
      </c>
      <c r="P45" s="213">
        <f t="shared" si="48"/>
        <v>-0.6921560489728159</v>
      </c>
      <c r="Q45" s="362"/>
      <c r="R45" s="211">
        <f>(R18+R20)/R23</f>
        <v>1.540983606557377</v>
      </c>
      <c r="S45" s="362"/>
      <c r="T45" s="265"/>
      <c r="U45" s="371" t="s">
        <v>52</v>
      </c>
      <c r="V45" s="360" t="s">
        <v>39</v>
      </c>
      <c r="W45" s="214"/>
      <c r="X45" s="182">
        <f>(X18+X20)/X23</f>
        <v>1.925754060324826</v>
      </c>
      <c r="Y45" s="214"/>
      <c r="Z45" s="214"/>
      <c r="AA45" s="182">
        <f>(AA18+AA20)/AA23</f>
        <v>1.8976545842217485</v>
      </c>
      <c r="AB45" s="182">
        <f t="shared" si="56"/>
        <v>-0.028099476103077503</v>
      </c>
      <c r="AC45" s="183">
        <f>AB45/AA45</f>
        <v>-0.014807476732970054</v>
      </c>
      <c r="AD45" s="214"/>
      <c r="AE45" s="182">
        <f>(AE18+AE20)/AE23</f>
        <v>1.721436343852013</v>
      </c>
      <c r="AF45" s="214"/>
      <c r="AG45" s="184"/>
      <c r="AH45" s="215">
        <f>(AH18+AH20)/AH23</f>
        <v>1.3086844368013757</v>
      </c>
      <c r="AI45" s="215">
        <f t="shared" si="57"/>
        <v>-0.41275190705063736</v>
      </c>
      <c r="AJ45" s="216">
        <f t="shared" si="58"/>
        <v>-0.31539452555840425</v>
      </c>
      <c r="AK45" s="178"/>
      <c r="AL45" s="211" t="e">
        <f>(AL18+AL20)/AL23</f>
        <v>#DIV/0!</v>
      </c>
      <c r="AM45" s="178"/>
      <c r="AN45" s="178"/>
      <c r="AO45" s="245" t="s">
        <v>52</v>
      </c>
      <c r="AP45" s="245" t="s">
        <v>39</v>
      </c>
      <c r="AQ45" s="214"/>
      <c r="AR45" s="182">
        <f>(AR18+AR20)/AR23</f>
        <v>1.6365503080082136</v>
      </c>
      <c r="AS45" s="214"/>
      <c r="AT45" s="214"/>
      <c r="AU45" s="182">
        <f>(AU18+AU20)/AU23</f>
        <v>1.818</v>
      </c>
      <c r="AV45" s="182">
        <f>AU45-AR45</f>
        <v>0.1814496919917865</v>
      </c>
      <c r="AW45" s="183">
        <f>AV45/AU45</f>
        <v>0.09980731132661524</v>
      </c>
      <c r="AX45" s="214"/>
      <c r="AY45" s="182">
        <f>(AY18+AY20)/AY23</f>
        <v>1.6920341394025604</v>
      </c>
      <c r="AZ45" s="214"/>
      <c r="BA45" s="184"/>
      <c r="BB45" s="215">
        <f>(BB18+BB20)/BB23</f>
        <v>1.4618159951894167</v>
      </c>
      <c r="BC45" s="215">
        <f>BB45-AY45</f>
        <v>-0.23021814421314368</v>
      </c>
      <c r="BD45" s="216">
        <f>BC45/BB45</f>
        <v>-0.15748777203885558</v>
      </c>
      <c r="BE45" s="178"/>
      <c r="BF45" s="211" t="e">
        <f>(BF18+BF20)/BF23</f>
        <v>#DIV/0!</v>
      </c>
      <c r="BG45" s="178"/>
      <c r="BH45" s="178"/>
      <c r="BI45" s="245" t="s">
        <v>52</v>
      </c>
      <c r="BJ45" s="245" t="s">
        <v>39</v>
      </c>
      <c r="BK45" s="214"/>
      <c r="BL45" s="182">
        <f>(BL18+BL20)/BL23</f>
        <v>1.8563218390804597</v>
      </c>
      <c r="BM45" s="214"/>
      <c r="BN45" s="214"/>
      <c r="BO45" s="182">
        <f>(BO18+BO20)/BO23</f>
        <v>1.830316742081448</v>
      </c>
      <c r="BP45" s="182">
        <f>BO45-BL45</f>
        <v>-0.026005096999011768</v>
      </c>
      <c r="BQ45" s="183">
        <f>BP45/BO45</f>
        <v>-0.01420797635792732</v>
      </c>
      <c r="BR45" s="214"/>
      <c r="BS45" s="182">
        <f>(BS18+BS20)/BS23</f>
        <v>1.7365145228215768</v>
      </c>
      <c r="BT45" s="214"/>
      <c r="BU45" s="184"/>
      <c r="BV45" s="215">
        <f>(BV18+BV20)/BV23</f>
        <v>1.5391923990498813</v>
      </c>
      <c r="BW45" s="215">
        <f>BV45-BS45</f>
        <v>-0.19732212377169556</v>
      </c>
      <c r="BX45" s="216">
        <f>BW45/BV45</f>
        <v>-0.12819847856154912</v>
      </c>
      <c r="BY45" s="178"/>
      <c r="BZ45" s="211" t="e">
        <f>(BZ18+BZ20)/BZ23</f>
        <v>#DIV/0!</v>
      </c>
      <c r="CA45" s="178"/>
      <c r="CB45" s="178"/>
      <c r="CC45" s="245" t="s">
        <v>52</v>
      </c>
      <c r="CD45" s="245" t="s">
        <v>39</v>
      </c>
      <c r="CE45" s="214"/>
      <c r="CF45" s="182">
        <f>(CF18+CF20)/CF23</f>
        <v>2.090293453724605</v>
      </c>
      <c r="CG45" s="214"/>
      <c r="CH45" s="214"/>
      <c r="CI45" s="182">
        <f>(CI18+CI20)/CI23</f>
        <v>2.318702290076336</v>
      </c>
      <c r="CJ45" s="182">
        <f>CI45-CF45</f>
        <v>0.22840883635173093</v>
      </c>
      <c r="CK45" s="183">
        <f>CJ45/CI45</f>
        <v>0.0985071853895531</v>
      </c>
      <c r="CL45" s="214"/>
      <c r="CM45" s="182">
        <f>(CM18+CM20)/CM23</f>
        <v>1.8026149304091101</v>
      </c>
      <c r="CN45" s="214"/>
      <c r="CO45" s="184"/>
      <c r="CP45" s="215">
        <f>(CP18+CP20)/CP23</f>
        <v>1.6945606694560669</v>
      </c>
      <c r="CQ45" s="215">
        <f>CP45-CM45</f>
        <v>-0.10805426095304327</v>
      </c>
      <c r="CR45" s="216">
        <f>CQ45/CP45</f>
        <v>-0.06376535399451196</v>
      </c>
      <c r="CS45" s="178"/>
      <c r="CT45" s="211" t="e">
        <f>(CT18+CT20)/CT23</f>
        <v>#DIV/0!</v>
      </c>
      <c r="CU45" s="178"/>
      <c r="CV45" s="178"/>
      <c r="CW45" s="245" t="s">
        <v>52</v>
      </c>
      <c r="CX45" s="245" t="s">
        <v>39</v>
      </c>
      <c r="CY45" s="214"/>
      <c r="CZ45" s="182">
        <f>(CZ18+CZ20)/CZ23</f>
        <v>2.0351239669421486</v>
      </c>
      <c r="DA45" s="214"/>
      <c r="DB45" s="214"/>
      <c r="DC45" s="182">
        <f>(DC18+DC20)/DC23</f>
        <v>2.024830699774266</v>
      </c>
      <c r="DD45" s="182">
        <f>DC45-CZ45</f>
        <v>-0.01029326716788237</v>
      </c>
      <c r="DE45" s="183">
        <f>DD45/DC45</f>
        <v>-0.005083519905654281</v>
      </c>
      <c r="DF45" s="214"/>
      <c r="DG45" s="182">
        <f>(DG18+DG20)/DG23</f>
        <v>1.842031523642732</v>
      </c>
      <c r="DH45" s="214"/>
      <c r="DI45" s="184"/>
      <c r="DJ45" s="215">
        <f>(DJ18+DJ20)/DJ23</f>
        <v>1.7421875</v>
      </c>
      <c r="DK45" s="215">
        <f>DJ45-DG45</f>
        <v>-0.09984402364273204</v>
      </c>
      <c r="DL45" s="216">
        <f>DK45/DJ45</f>
        <v>-0.057309574108832737</v>
      </c>
      <c r="DM45" s="178"/>
      <c r="DN45" s="211" t="e">
        <f>(DN18+DN20)/DN23</f>
        <v>#DIV/0!</v>
      </c>
      <c r="DO45" s="178"/>
      <c r="DP45" s="178"/>
      <c r="DQ45" s="245" t="s">
        <v>52</v>
      </c>
      <c r="DR45" s="245" t="s">
        <v>39</v>
      </c>
      <c r="DS45" s="214"/>
      <c r="DT45" s="182">
        <f>(DT18+DT20)/DT23</f>
        <v>1.5124610591900312</v>
      </c>
      <c r="DU45" s="214"/>
      <c r="DV45" s="214"/>
      <c r="DW45" s="182">
        <f>(DW18+DW20)/DW23</f>
        <v>1.7878787878787878</v>
      </c>
      <c r="DX45" s="182">
        <f>DW45-DT45</f>
        <v>0.2754177286887567</v>
      </c>
      <c r="DY45" s="183">
        <f>DX45/DW45</f>
        <v>0.15404720418184698</v>
      </c>
      <c r="DZ45" s="214"/>
      <c r="EA45" s="182">
        <f>(EA18+EA20)/EA23</f>
        <v>1.781527023162711</v>
      </c>
      <c r="EB45" s="214"/>
      <c r="EC45" s="184"/>
      <c r="ED45" s="215">
        <f>(ED18+ED20)/ED23</f>
        <v>1.7481607243916242</v>
      </c>
      <c r="EE45" s="215">
        <f>ED45-EA45</f>
        <v>-0.033366298771086766</v>
      </c>
      <c r="EF45" s="216">
        <f>EE45/ED45</f>
        <v>-0.019086516648918847</v>
      </c>
      <c r="EG45" s="178"/>
      <c r="EH45" s="211" t="e">
        <f>(EH18+EH20)/EH23</f>
        <v>#DIV/0!</v>
      </c>
      <c r="EI45" s="178"/>
      <c r="EJ45" s="178"/>
      <c r="EK45" s="245" t="s">
        <v>52</v>
      </c>
      <c r="EL45" s="245" t="s">
        <v>39</v>
      </c>
      <c r="EM45" s="214"/>
      <c r="EN45" s="182">
        <f>(EN18+EN20)/EN23</f>
        <v>1.6883116883116882</v>
      </c>
      <c r="EO45" s="214"/>
      <c r="EP45" s="214"/>
      <c r="EQ45" s="182">
        <f>(EQ18+EQ20)/EQ23</f>
        <v>1.9689922480620154</v>
      </c>
      <c r="ER45" s="182">
        <f>EQ45-EN45</f>
        <v>0.28068055975032724</v>
      </c>
      <c r="ES45" s="183">
        <f>ER45/EQ45</f>
        <v>0.142550363022804</v>
      </c>
      <c r="ET45" s="214"/>
      <c r="EU45" s="182">
        <f>(EU18+EU20)/EU23</f>
        <v>1.770649153826724</v>
      </c>
      <c r="EV45" s="214"/>
      <c r="EW45" s="184"/>
      <c r="EX45" s="215">
        <f>(EX18+EX20)/EX23</f>
        <v>1.7699566437133385</v>
      </c>
      <c r="EY45" s="215">
        <f>EX45-EU45</f>
        <v>-0.0006925101133854472</v>
      </c>
      <c r="EZ45" s="216">
        <f>EY45/EX45</f>
        <v>-0.0003912582355308845</v>
      </c>
      <c r="FA45" s="178"/>
      <c r="FB45" s="211" t="e">
        <f>(FB18+FB20)/FB23</f>
        <v>#DIV/0!</v>
      </c>
      <c r="FC45" s="178"/>
      <c r="FD45" s="178"/>
      <c r="FE45" s="245" t="s">
        <v>52</v>
      </c>
      <c r="FF45" s="245" t="s">
        <v>39</v>
      </c>
      <c r="FG45" s="214"/>
      <c r="FH45" s="182">
        <f>(FH18+FH20)/FH23</f>
        <v>1.6052104208416833</v>
      </c>
      <c r="FI45" s="214"/>
      <c r="FJ45" s="214"/>
      <c r="FK45" s="182">
        <f>(FK18+FK20)/FK23</f>
        <v>1.769811320754717</v>
      </c>
      <c r="FL45" s="182">
        <f>FK45-FH45</f>
        <v>0.16460089991303373</v>
      </c>
      <c r="FM45" s="183">
        <f>FL45/FK45</f>
        <v>0.09300477287197001</v>
      </c>
      <c r="FN45" s="214"/>
      <c r="FO45" s="182">
        <f>(FO18+FO20)/FO23</f>
        <v>1.7521310004486317</v>
      </c>
      <c r="FP45" s="214"/>
      <c r="FQ45" s="184"/>
      <c r="FR45" s="215">
        <f>(FR18+FR20)/FR23</f>
        <v>1.7699393394742755</v>
      </c>
      <c r="FS45" s="215">
        <f>FR45-FO45</f>
        <v>0.017808339025643827</v>
      </c>
      <c r="FT45" s="216">
        <f>FS45/FR45</f>
        <v>0.010061553313422273</v>
      </c>
      <c r="FU45" s="178"/>
      <c r="FV45" s="211" t="e">
        <f>(FV18+FV20)/FV23</f>
        <v>#DIV/0!</v>
      </c>
      <c r="FW45" s="178"/>
      <c r="FX45" s="178"/>
      <c r="FY45" s="245" t="s">
        <v>52</v>
      </c>
      <c r="FZ45" s="245" t="s">
        <v>39</v>
      </c>
      <c r="GA45" s="214"/>
      <c r="GB45" s="182">
        <f>(GB18+GB20)/GB23</f>
        <v>1.7047817047817049</v>
      </c>
      <c r="GC45" s="214"/>
      <c r="GD45" s="214"/>
      <c r="GE45" s="182">
        <f>(GE18+GE20)/GE23</f>
        <v>1.7306733167082293</v>
      </c>
      <c r="GF45" s="182">
        <f>GE45-GB45</f>
        <v>0.02589161192652445</v>
      </c>
      <c r="GG45" s="183">
        <f>GF45/GE45</f>
        <v>0.014960427064173349</v>
      </c>
      <c r="GH45" s="214"/>
      <c r="GI45" s="182">
        <f>(GI18+GI20)/GI23</f>
        <v>1.7475197408382264</v>
      </c>
      <c r="GJ45" s="214"/>
      <c r="GK45" s="184"/>
      <c r="GL45" s="215">
        <f>(GL18+GL20)/GL23</f>
        <v>1.7666941467436108</v>
      </c>
      <c r="GM45" s="215">
        <f>GL45-GI45</f>
        <v>0.01917440590538444</v>
      </c>
      <c r="GN45" s="216">
        <f>GM45/GL45</f>
        <v>0.010853268484942289</v>
      </c>
      <c r="GO45" s="178"/>
      <c r="GP45" s="211" t="e">
        <f>(GP18+GP20)/GP23</f>
        <v>#DIV/0!</v>
      </c>
      <c r="GQ45" s="178"/>
      <c r="GR45" s="178"/>
      <c r="GS45" s="245" t="s">
        <v>52</v>
      </c>
      <c r="GT45" s="245" t="s">
        <v>39</v>
      </c>
      <c r="GU45" s="214"/>
      <c r="GV45" s="182">
        <f>(GV18+GV20)/GV23</f>
        <v>1.955082742316785</v>
      </c>
      <c r="GW45" s="214"/>
      <c r="GX45" s="214"/>
      <c r="GY45" s="182">
        <f>(GY18+GY20)/GY23</f>
        <v>2.1872340425531913</v>
      </c>
      <c r="GZ45" s="182">
        <f>GY45-GV45</f>
        <v>0.2321513002364064</v>
      </c>
      <c r="HA45" s="183">
        <f>GZ45/GY45</f>
        <v>0.10613921314310411</v>
      </c>
      <c r="HB45" s="214"/>
      <c r="HC45" s="182">
        <f>(HC18+HC20)/HC23</f>
        <v>1.7638940693770981</v>
      </c>
      <c r="HD45" s="214"/>
      <c r="HE45" s="184"/>
      <c r="HF45" s="215">
        <f>(HF18+HF20)/HF23</f>
        <v>1.8038331454340473</v>
      </c>
      <c r="HG45" s="215">
        <f>HF45-HC45</f>
        <v>0.03993907605694913</v>
      </c>
      <c r="HH45" s="216">
        <f>HG45/HF45</f>
        <v>0.022141225289071174</v>
      </c>
      <c r="HI45" s="178"/>
      <c r="HJ45" s="211" t="e">
        <f>(HJ18+HJ20)/HJ23</f>
        <v>#DIV/0!</v>
      </c>
      <c r="HK45" s="178"/>
      <c r="HL45" s="178"/>
      <c r="HM45" s="245" t="s">
        <v>52</v>
      </c>
      <c r="HN45" s="245" t="s">
        <v>39</v>
      </c>
      <c r="HO45" s="214"/>
      <c r="HP45" s="182">
        <f>(HP18+HP20)/HP23</f>
        <v>1.949317738791423</v>
      </c>
      <c r="HQ45" s="214"/>
      <c r="HR45" s="214"/>
      <c r="HS45" s="182">
        <f>(HS18+HS20)/HS23</f>
        <v>1.7668711656441718</v>
      </c>
      <c r="HT45" s="182">
        <f>HS45-HP45</f>
        <v>-0.1824465731472511</v>
      </c>
      <c r="HU45" s="183">
        <f>HT45/HS45</f>
        <v>-0.10325969244097892</v>
      </c>
      <c r="HV45" s="214"/>
      <c r="HW45" s="182">
        <f>(HW18+HW20)/HW23</f>
        <v>1.7800851063829788</v>
      </c>
      <c r="HX45" s="214"/>
      <c r="HY45" s="184"/>
      <c r="HZ45" s="215">
        <f>(HZ18+HZ20)/HZ23</f>
        <v>1.8007227671657202</v>
      </c>
      <c r="IA45" s="215">
        <f>HZ45-HW45</f>
        <v>0.02063766078274143</v>
      </c>
      <c r="IB45" s="216">
        <f>IA45/HZ45</f>
        <v>0.011460765176654286</v>
      </c>
      <c r="IC45" s="178"/>
      <c r="ID45" s="211" t="e">
        <f>(ID18+ID20)/ID23</f>
        <v>#DIV/0!</v>
      </c>
      <c r="IE45" s="178"/>
      <c r="IF45" s="178"/>
    </row>
    <row r="46" spans="1:240" ht="13.5" thickBot="1">
      <c r="A46" s="242"/>
      <c r="B46" s="366" t="s">
        <v>40</v>
      </c>
      <c r="C46" s="214"/>
      <c r="D46" s="182">
        <f>D19/D24</f>
        <v>0.9473684210526315</v>
      </c>
      <c r="E46" s="214"/>
      <c r="F46" s="214"/>
      <c r="G46" s="182">
        <f>G19/G24</f>
        <v>0.4426229508196721</v>
      </c>
      <c r="H46" s="182">
        <f t="shared" si="54"/>
        <v>-0.5047454702329595</v>
      </c>
      <c r="I46" s="183">
        <f t="shared" si="55"/>
        <v>-1.1403508771929824</v>
      </c>
      <c r="J46" s="214"/>
      <c r="K46" s="182">
        <f>K19/K24</f>
        <v>0.9473684210526315</v>
      </c>
      <c r="L46" s="214"/>
      <c r="M46" s="184"/>
      <c r="N46" s="215">
        <f>N19/N24</f>
        <v>0.4426229508196721</v>
      </c>
      <c r="O46" s="215">
        <f t="shared" si="49"/>
        <v>-0.5047454702329595</v>
      </c>
      <c r="P46" s="216">
        <f t="shared" si="48"/>
        <v>-1.1403508771929824</v>
      </c>
      <c r="Q46" s="352"/>
      <c r="R46" s="182">
        <f>R19/R24</f>
        <v>0.9473684210526315</v>
      </c>
      <c r="S46" s="352"/>
      <c r="T46" s="266"/>
      <c r="U46" s="242"/>
      <c r="V46" s="360" t="s">
        <v>40</v>
      </c>
      <c r="W46" s="214"/>
      <c r="X46" s="182">
        <f>X19/X24</f>
        <v>1</v>
      </c>
      <c r="Y46" s="214"/>
      <c r="Z46" s="214"/>
      <c r="AA46" s="182">
        <f>AA19/AA24</f>
        <v>1.2894736842105263</v>
      </c>
      <c r="AB46" s="182">
        <f t="shared" si="56"/>
        <v>0.2894736842105263</v>
      </c>
      <c r="AC46" s="183">
        <f>AB46/AA46</f>
        <v>0.22448979591836735</v>
      </c>
      <c r="AD46" s="214"/>
      <c r="AE46" s="182">
        <f>AE19/AE24</f>
        <v>0.96875</v>
      </c>
      <c r="AF46" s="214"/>
      <c r="AG46" s="184"/>
      <c r="AH46" s="215">
        <f>AH19/AH24</f>
        <v>0.7676767676767676</v>
      </c>
      <c r="AI46" s="215">
        <f t="shared" si="57"/>
        <v>-0.20107323232323238</v>
      </c>
      <c r="AJ46" s="216">
        <f t="shared" si="58"/>
        <v>-0.2619243421052632</v>
      </c>
      <c r="AK46" s="178"/>
      <c r="AL46" s="182" t="e">
        <f>AL19/AL24</f>
        <v>#DIV/0!</v>
      </c>
      <c r="AM46" s="178"/>
      <c r="AN46" s="178"/>
      <c r="AO46" s="242"/>
      <c r="AP46" s="348" t="s">
        <v>40</v>
      </c>
      <c r="AQ46" s="214"/>
      <c r="AR46" s="182">
        <f>AR19/AR24</f>
        <v>1</v>
      </c>
      <c r="AS46" s="214"/>
      <c r="AT46" s="214"/>
      <c r="AU46" s="182">
        <f>AU19/AU24</f>
        <v>1</v>
      </c>
      <c r="AV46" s="182">
        <f>AU46-AR46</f>
        <v>0</v>
      </c>
      <c r="AW46" s="183">
        <f>AV46/AU46</f>
        <v>0</v>
      </c>
      <c r="AX46" s="214"/>
      <c r="AY46" s="182">
        <f>AY19/AY24</f>
        <v>0.978021978021978</v>
      </c>
      <c r="AZ46" s="214"/>
      <c r="BA46" s="184"/>
      <c r="BB46" s="215">
        <f>BB19/BB24</f>
        <v>0.8670520231213873</v>
      </c>
      <c r="BC46" s="215">
        <f>BB46-AY46</f>
        <v>-0.1109699549005907</v>
      </c>
      <c r="BD46" s="216">
        <f>BC46/BB46</f>
        <v>-0.12798534798534794</v>
      </c>
      <c r="BE46" s="178"/>
      <c r="BF46" s="182" t="e">
        <f>BF19/BF24</f>
        <v>#DIV/0!</v>
      </c>
      <c r="BG46" s="178"/>
      <c r="BH46" s="178"/>
      <c r="BI46" s="242"/>
      <c r="BJ46" s="348" t="s">
        <v>40</v>
      </c>
      <c r="BK46" s="214"/>
      <c r="BL46" s="182">
        <f>BL19/BL24</f>
        <v>1</v>
      </c>
      <c r="BM46" s="214"/>
      <c r="BN46" s="214"/>
      <c r="BO46" s="182">
        <f>BO19/BO24</f>
        <v>1</v>
      </c>
      <c r="BP46" s="182">
        <f>BO46-BL46</f>
        <v>0</v>
      </c>
      <c r="BQ46" s="183">
        <f>BP46/BO46</f>
        <v>0</v>
      </c>
      <c r="BR46" s="214"/>
      <c r="BS46" s="182">
        <f>BS19/BS24</f>
        <v>0.9829787234042553</v>
      </c>
      <c r="BT46" s="214"/>
      <c r="BU46" s="184"/>
      <c r="BV46" s="215">
        <f>BV19/BV24</f>
        <v>0.9037656903765691</v>
      </c>
      <c r="BW46" s="215">
        <f>BV46-BS46</f>
        <v>-0.07921303302768623</v>
      </c>
      <c r="BX46" s="216">
        <f>BW46/BV46</f>
        <v>-0.08764775413711579</v>
      </c>
      <c r="BY46" s="178"/>
      <c r="BZ46" s="182" t="e">
        <f>BZ19/BZ24</f>
        <v>#DIV/0!</v>
      </c>
      <c r="CA46" s="178"/>
      <c r="CB46" s="178"/>
      <c r="CC46" s="242"/>
      <c r="CD46" s="348" t="s">
        <v>40</v>
      </c>
      <c r="CE46" s="214"/>
      <c r="CF46" s="182">
        <f>CF19/CF24</f>
        <v>1</v>
      </c>
      <c r="CG46" s="214"/>
      <c r="CH46" s="214"/>
      <c r="CI46" s="182">
        <f>CI19/CI24</f>
        <v>1.0303030303030303</v>
      </c>
      <c r="CJ46" s="182">
        <f>CI46-CF46</f>
        <v>0.030303030303030276</v>
      </c>
      <c r="CK46" s="183">
        <f>CJ46/CI46</f>
        <v>0.029411764705882328</v>
      </c>
      <c r="CL46" s="214"/>
      <c r="CM46" s="182">
        <f>CM19/CM24</f>
        <v>0.9863481228668942</v>
      </c>
      <c r="CN46" s="214"/>
      <c r="CO46" s="184"/>
      <c r="CP46" s="215">
        <f>CP19/CP24</f>
        <v>0.9311475409836065</v>
      </c>
      <c r="CQ46" s="215">
        <f>CP46-CM46</f>
        <v>-0.05520058188328769</v>
      </c>
      <c r="CR46" s="216">
        <f>CQ46/CP46</f>
        <v>-0.059282315050713894</v>
      </c>
      <c r="CS46" s="178"/>
      <c r="CT46" s="182" t="e">
        <f>CT19/CT24</f>
        <v>#DIV/0!</v>
      </c>
      <c r="CU46" s="178"/>
      <c r="CV46" s="178"/>
      <c r="CW46" s="242"/>
      <c r="CX46" s="348" t="s">
        <v>40</v>
      </c>
      <c r="CY46" s="214"/>
      <c r="CZ46" s="182">
        <f>CZ19/CZ24</f>
        <v>1</v>
      </c>
      <c r="DA46" s="214"/>
      <c r="DB46" s="214"/>
      <c r="DC46" s="182">
        <f>DC19/DC24</f>
        <v>1</v>
      </c>
      <c r="DD46" s="182">
        <f>DC46-CZ46</f>
        <v>0</v>
      </c>
      <c r="DE46" s="183">
        <f>DD46/DC46</f>
        <v>0</v>
      </c>
      <c r="DF46" s="214"/>
      <c r="DG46" s="182">
        <f>DG19/DG24</f>
        <v>0.9887005649717514</v>
      </c>
      <c r="DH46" s="214"/>
      <c r="DI46" s="184"/>
      <c r="DJ46" s="215">
        <f>DJ19/DJ24</f>
        <v>0.940677966101695</v>
      </c>
      <c r="DK46" s="215">
        <f>DJ46-DG46</f>
        <v>-0.04802259887005644</v>
      </c>
      <c r="DL46" s="216">
        <f>DK46/DJ46</f>
        <v>-0.05105105105105099</v>
      </c>
      <c r="DM46" s="178"/>
      <c r="DN46" s="182" t="e">
        <f>DN19/DN24</f>
        <v>#DIV/0!</v>
      </c>
      <c r="DO46" s="178"/>
      <c r="DP46" s="178"/>
      <c r="DQ46" s="242"/>
      <c r="DR46" s="348" t="s">
        <v>40</v>
      </c>
      <c r="DS46" s="214"/>
      <c r="DT46" s="182">
        <f>DT19/DT24</f>
        <v>1</v>
      </c>
      <c r="DU46" s="214"/>
      <c r="DV46" s="214"/>
      <c r="DW46" s="182">
        <f>DW19/DW24</f>
        <v>1.0158730158730158</v>
      </c>
      <c r="DX46" s="182">
        <f>DW46-DT46</f>
        <v>0.015873015873015817</v>
      </c>
      <c r="DY46" s="183">
        <f>DX46/DW46</f>
        <v>0.015624999999999944</v>
      </c>
      <c r="DZ46" s="214"/>
      <c r="EA46" s="182">
        <f>EA19/EA24</f>
        <v>0.9906976744186047</v>
      </c>
      <c r="EB46" s="214"/>
      <c r="EC46" s="184"/>
      <c r="ED46" s="215">
        <f>ED19/ED24</f>
        <v>0.9520383693045563</v>
      </c>
      <c r="EE46" s="215">
        <f>ED46-EA46</f>
        <v>-0.03865930511404836</v>
      </c>
      <c r="EF46" s="216">
        <f>EE46/ED46</f>
        <v>-0.04060687716009614</v>
      </c>
      <c r="EG46" s="178"/>
      <c r="EH46" s="182" t="e">
        <f>EH19/EH24</f>
        <v>#DIV/0!</v>
      </c>
      <c r="EI46" s="178"/>
      <c r="EJ46" s="178"/>
      <c r="EK46" s="242"/>
      <c r="EL46" s="348" t="s">
        <v>40</v>
      </c>
      <c r="EM46" s="214"/>
      <c r="EN46" s="182">
        <f>EN19/EN24</f>
        <v>1</v>
      </c>
      <c r="EO46" s="214"/>
      <c r="EP46" s="214"/>
      <c r="EQ46" s="182">
        <f>EQ19/EQ24</f>
        <v>1</v>
      </c>
      <c r="ER46" s="182">
        <f>EQ46-EN46</f>
        <v>0</v>
      </c>
      <c r="ES46" s="183">
        <f>ER46/EQ46</f>
        <v>0</v>
      </c>
      <c r="ET46" s="214"/>
      <c r="EU46" s="182">
        <f>EU19/EU24</f>
        <v>0.9919028340080972</v>
      </c>
      <c r="EV46" s="214"/>
      <c r="EW46" s="184"/>
      <c r="EX46" s="215">
        <f>EX19/EX24</f>
        <v>0.9580712788259959</v>
      </c>
      <c r="EY46" s="215">
        <f>EX46-EU46</f>
        <v>-0.03383155518210135</v>
      </c>
      <c r="EZ46" s="216">
        <f>EY46/EX46</f>
        <v>-0.035312148406700966</v>
      </c>
      <c r="FA46" s="178"/>
      <c r="FB46" s="182" t="e">
        <f>FB19/FB24</f>
        <v>#DIV/0!</v>
      </c>
      <c r="FC46" s="178"/>
      <c r="FD46" s="178"/>
      <c r="FE46" s="242"/>
      <c r="FF46" s="348" t="s">
        <v>40</v>
      </c>
      <c r="FG46" s="214"/>
      <c r="FH46" s="182">
        <f>FH19/FH24</f>
        <v>1</v>
      </c>
      <c r="FI46" s="214"/>
      <c r="FJ46" s="214"/>
      <c r="FK46" s="182">
        <f>FK19/FK24</f>
        <v>1.0740740740740742</v>
      </c>
      <c r="FL46" s="182">
        <f>FK46-FH46</f>
        <v>0.07407407407407418</v>
      </c>
      <c r="FM46" s="183">
        <f>FL46/FK46</f>
        <v>0.0689655172413794</v>
      </c>
      <c r="FN46" s="214"/>
      <c r="FO46" s="182">
        <f>FO19/FO24</f>
        <v>0.992619926199262</v>
      </c>
      <c r="FP46" s="214"/>
      <c r="FQ46" s="184"/>
      <c r="FR46" s="215">
        <f>FR19/FR24</f>
        <v>0.9698681732580038</v>
      </c>
      <c r="FS46" s="215">
        <f>FR46-FO46</f>
        <v>-0.022751752941258196</v>
      </c>
      <c r="FT46" s="216">
        <f>FS46/FR46</f>
        <v>-0.023458603518073985</v>
      </c>
      <c r="FU46" s="178"/>
      <c r="FV46" s="182" t="e">
        <f>FV19/FV24</f>
        <v>#DIV/0!</v>
      </c>
      <c r="FW46" s="178"/>
      <c r="FX46" s="178"/>
      <c r="FY46" s="242"/>
      <c r="FZ46" s="348" t="s">
        <v>40</v>
      </c>
      <c r="GA46" s="214"/>
      <c r="GB46" s="182">
        <f>GB19/GB24</f>
        <v>1</v>
      </c>
      <c r="GC46" s="214"/>
      <c r="GD46" s="214"/>
      <c r="GE46" s="182">
        <f>GE19/GE24</f>
        <v>1.054054054054054</v>
      </c>
      <c r="GF46" s="182">
        <f>GE46-GB46</f>
        <v>0.054054054054053946</v>
      </c>
      <c r="GG46" s="183">
        <f>GF46/GE46</f>
        <v>0.05128205128205118</v>
      </c>
      <c r="GH46" s="214"/>
      <c r="GI46" s="182">
        <f>GI19/GI24</f>
        <v>0.9930434782608696</v>
      </c>
      <c r="GJ46" s="214"/>
      <c r="GK46" s="184"/>
      <c r="GL46" s="215">
        <f>GL19/GL24</f>
        <v>0.9753521126760564</v>
      </c>
      <c r="GM46" s="215">
        <f>GL46-GI46</f>
        <v>-0.017691365584813212</v>
      </c>
      <c r="GN46" s="216">
        <f>GM46/GL46</f>
        <v>-0.01813843980536806</v>
      </c>
      <c r="GO46" s="178"/>
      <c r="GP46" s="182" t="e">
        <f>GP19/GP24</f>
        <v>#DIV/0!</v>
      </c>
      <c r="GQ46" s="178"/>
      <c r="GR46" s="178"/>
      <c r="GS46" s="242"/>
      <c r="GT46" s="348" t="s">
        <v>40</v>
      </c>
      <c r="GU46" s="214"/>
      <c r="GV46" s="182">
        <f>GV19/GV24</f>
        <v>1</v>
      </c>
      <c r="GW46" s="214"/>
      <c r="GX46" s="214"/>
      <c r="GY46" s="182">
        <f>GY19/GY24</f>
        <v>1</v>
      </c>
      <c r="GZ46" s="182">
        <f>GY46-GV46</f>
        <v>0</v>
      </c>
      <c r="HA46" s="183">
        <f>GZ46/GY46</f>
        <v>0</v>
      </c>
      <c r="HB46" s="214"/>
      <c r="HC46" s="182">
        <f>HC19/HC24</f>
        <v>0.9934533551554828</v>
      </c>
      <c r="HD46" s="214"/>
      <c r="HE46" s="184"/>
      <c r="HF46" s="215">
        <f>HF19/HF24</f>
        <v>0.9776</v>
      </c>
      <c r="HG46" s="215">
        <f>HF46-HC46</f>
        <v>-0.015853355155482807</v>
      </c>
      <c r="HH46" s="216">
        <f>HG46/HF46</f>
        <v>-0.0162166071557721</v>
      </c>
      <c r="HI46" s="178"/>
      <c r="HJ46" s="182" t="e">
        <f>HJ19/HJ24</f>
        <v>#DIV/0!</v>
      </c>
      <c r="HK46" s="178"/>
      <c r="HL46" s="178"/>
      <c r="HM46" s="242"/>
      <c r="HN46" s="348" t="s">
        <v>40</v>
      </c>
      <c r="HO46" s="214"/>
      <c r="HP46" s="182">
        <f>HP19/HP24</f>
        <v>1</v>
      </c>
      <c r="HQ46" s="214"/>
      <c r="HR46" s="214"/>
      <c r="HS46" s="182">
        <f>HS19/HS24</f>
        <v>1</v>
      </c>
      <c r="HT46" s="182">
        <f>HS46-HP46</f>
        <v>0</v>
      </c>
      <c r="HU46" s="183">
        <f>HT46/HS46</f>
        <v>0</v>
      </c>
      <c r="HV46" s="214"/>
      <c r="HW46" s="182">
        <f>HW19/HW24</f>
        <v>0.9939668174962293</v>
      </c>
      <c r="HX46" s="214"/>
      <c r="HY46" s="184"/>
      <c r="HZ46" s="215">
        <f>HZ19/HZ24</f>
        <v>0.980225988700565</v>
      </c>
      <c r="IA46" s="215">
        <f>HZ46-HW46</f>
        <v>-0.013740828795664295</v>
      </c>
      <c r="IB46" s="216">
        <f>IA46/HZ46</f>
        <v>-0.014018021307392393</v>
      </c>
      <c r="IC46" s="178"/>
      <c r="ID46" s="182" t="e">
        <f>ID19/ID24</f>
        <v>#DIV/0!</v>
      </c>
      <c r="IE46" s="178"/>
      <c r="IF46" s="178"/>
    </row>
    <row r="47" spans="1:240" ht="13.5" thickBot="1">
      <c r="A47" s="243"/>
      <c r="B47" s="367" t="s">
        <v>211</v>
      </c>
      <c r="C47" s="221"/>
      <c r="D47" s="217">
        <f>D20/D25</f>
        <v>8.73913043478261</v>
      </c>
      <c r="E47" s="221"/>
      <c r="F47" s="221"/>
      <c r="G47" s="217">
        <f>G20/G25</f>
        <v>8.714285714285714</v>
      </c>
      <c r="H47" s="217">
        <f t="shared" si="54"/>
        <v>-0.02484472049689579</v>
      </c>
      <c r="I47" s="205">
        <f t="shared" si="55"/>
        <v>-0.0028510334996437793</v>
      </c>
      <c r="J47" s="221"/>
      <c r="K47" s="217">
        <f>K20/K25</f>
        <v>8.73913043478261</v>
      </c>
      <c r="L47" s="221"/>
      <c r="M47" s="223"/>
      <c r="N47" s="224">
        <f>N20/N25</f>
        <v>8.714285714285714</v>
      </c>
      <c r="O47" s="224">
        <f t="shared" si="49"/>
        <v>-0.02484472049689579</v>
      </c>
      <c r="P47" s="225">
        <f t="shared" si="48"/>
        <v>-0.0028510334996437793</v>
      </c>
      <c r="Q47" s="222"/>
      <c r="R47" s="217">
        <f>R20/R25</f>
        <v>8.739130434782608</v>
      </c>
      <c r="S47" s="222"/>
      <c r="T47" s="222"/>
      <c r="U47" s="243"/>
      <c r="V47" s="360" t="s">
        <v>211</v>
      </c>
      <c r="W47" s="218"/>
      <c r="X47" s="191">
        <f>X20/X25</f>
        <v>10.347826086956522</v>
      </c>
      <c r="Y47" s="218"/>
      <c r="Z47" s="218"/>
      <c r="AA47" s="191">
        <v>0</v>
      </c>
      <c r="AB47" s="372">
        <f t="shared" si="56"/>
        <v>-10.347826086956522</v>
      </c>
      <c r="AC47" s="205">
        <v>0</v>
      </c>
      <c r="AD47" s="373"/>
      <c r="AE47" s="182">
        <f>AE20/AE25</f>
        <v>9.543478260869565</v>
      </c>
      <c r="AF47" s="218"/>
      <c r="AG47" s="193"/>
      <c r="AH47" s="215">
        <f>AH20/AH25</f>
        <v>31.642857142857142</v>
      </c>
      <c r="AI47" s="215">
        <f t="shared" si="57"/>
        <v>22.099378881987576</v>
      </c>
      <c r="AJ47" s="216">
        <f t="shared" si="58"/>
        <v>0.6984002355481401</v>
      </c>
      <c r="AK47" s="189"/>
      <c r="AL47" s="191"/>
      <c r="AM47" s="189"/>
      <c r="AN47" s="189"/>
      <c r="AO47" s="356"/>
      <c r="AP47" s="245"/>
      <c r="AQ47" s="218"/>
      <c r="AR47" s="191"/>
      <c r="AS47" s="218"/>
      <c r="AT47" s="218"/>
      <c r="AU47" s="191"/>
      <c r="AV47" s="191"/>
      <c r="AW47" s="192"/>
      <c r="AX47" s="218"/>
      <c r="AY47" s="191"/>
      <c r="AZ47" s="218"/>
      <c r="BA47" s="193"/>
      <c r="BB47" s="219"/>
      <c r="BC47" s="219"/>
      <c r="BD47" s="220"/>
      <c r="BE47" s="189"/>
      <c r="BF47" s="191"/>
      <c r="BG47" s="189"/>
      <c r="BH47" s="189"/>
      <c r="BI47" s="356"/>
      <c r="BJ47" s="245"/>
      <c r="BK47" s="218"/>
      <c r="BL47" s="191"/>
      <c r="BM47" s="218"/>
      <c r="BN47" s="218"/>
      <c r="BO47" s="191"/>
      <c r="BP47" s="191"/>
      <c r="BQ47" s="192"/>
      <c r="BR47" s="218"/>
      <c r="BS47" s="191"/>
      <c r="BT47" s="218"/>
      <c r="BU47" s="193"/>
      <c r="BV47" s="219"/>
      <c r="BW47" s="219"/>
      <c r="BX47" s="220"/>
      <c r="BY47" s="189"/>
      <c r="BZ47" s="191"/>
      <c r="CA47" s="189"/>
      <c r="CB47" s="189"/>
      <c r="CC47" s="356"/>
      <c r="CD47" s="245"/>
      <c r="CE47" s="218"/>
      <c r="CF47" s="191"/>
      <c r="CG47" s="218"/>
      <c r="CH47" s="218"/>
      <c r="CI47" s="191"/>
      <c r="CJ47" s="191"/>
      <c r="CK47" s="192"/>
      <c r="CL47" s="218"/>
      <c r="CM47" s="191"/>
      <c r="CN47" s="218"/>
      <c r="CO47" s="193"/>
      <c r="CP47" s="219"/>
      <c r="CQ47" s="219"/>
      <c r="CR47" s="220"/>
      <c r="CS47" s="189"/>
      <c r="CT47" s="191"/>
      <c r="CU47" s="189"/>
      <c r="CV47" s="189"/>
      <c r="CW47" s="356"/>
      <c r="CX47" s="245"/>
      <c r="CY47" s="218"/>
      <c r="CZ47" s="191"/>
      <c r="DA47" s="218"/>
      <c r="DB47" s="218"/>
      <c r="DC47" s="191"/>
      <c r="DD47" s="191"/>
      <c r="DE47" s="192"/>
      <c r="DF47" s="218"/>
      <c r="DG47" s="191"/>
      <c r="DH47" s="218"/>
      <c r="DI47" s="193"/>
      <c r="DJ47" s="219"/>
      <c r="DK47" s="219"/>
      <c r="DL47" s="220"/>
      <c r="DM47" s="189"/>
      <c r="DN47" s="191"/>
      <c r="DO47" s="189"/>
      <c r="DP47" s="189"/>
      <c r="DQ47" s="356"/>
      <c r="DR47" s="245"/>
      <c r="DS47" s="218"/>
      <c r="DT47" s="191"/>
      <c r="DU47" s="218"/>
      <c r="DV47" s="218"/>
      <c r="DW47" s="191"/>
      <c r="DX47" s="191"/>
      <c r="DY47" s="192"/>
      <c r="DZ47" s="218"/>
      <c r="EA47" s="191"/>
      <c r="EB47" s="218"/>
      <c r="EC47" s="193"/>
      <c r="ED47" s="219"/>
      <c r="EE47" s="219"/>
      <c r="EF47" s="220"/>
      <c r="EG47" s="189"/>
      <c r="EH47" s="191"/>
      <c r="EI47" s="189"/>
      <c r="EJ47" s="189"/>
      <c r="EK47" s="356"/>
      <c r="EL47" s="245"/>
      <c r="EM47" s="218"/>
      <c r="EN47" s="191"/>
      <c r="EO47" s="218"/>
      <c r="EP47" s="218"/>
      <c r="EQ47" s="191"/>
      <c r="ER47" s="191"/>
      <c r="ES47" s="192"/>
      <c r="ET47" s="218"/>
      <c r="EU47" s="191"/>
      <c r="EV47" s="218"/>
      <c r="EW47" s="193"/>
      <c r="EX47" s="219"/>
      <c r="EY47" s="219"/>
      <c r="EZ47" s="220"/>
      <c r="FA47" s="189"/>
      <c r="FB47" s="191"/>
      <c r="FC47" s="189"/>
      <c r="FD47" s="189"/>
      <c r="FE47" s="356"/>
      <c r="FF47" s="245"/>
      <c r="FG47" s="218"/>
      <c r="FH47" s="191"/>
      <c r="FI47" s="218"/>
      <c r="FJ47" s="218"/>
      <c r="FK47" s="191"/>
      <c r="FL47" s="191"/>
      <c r="FM47" s="192"/>
      <c r="FN47" s="218"/>
      <c r="FO47" s="191"/>
      <c r="FP47" s="218"/>
      <c r="FQ47" s="193"/>
      <c r="FR47" s="219"/>
      <c r="FS47" s="219"/>
      <c r="FT47" s="220"/>
      <c r="FU47" s="189"/>
      <c r="FV47" s="191"/>
      <c r="FW47" s="189"/>
      <c r="FX47" s="189"/>
      <c r="FY47" s="356"/>
      <c r="FZ47" s="245"/>
      <c r="GA47" s="218"/>
      <c r="GB47" s="191"/>
      <c r="GC47" s="218"/>
      <c r="GD47" s="218"/>
      <c r="GE47" s="191"/>
      <c r="GF47" s="191"/>
      <c r="GG47" s="192"/>
      <c r="GH47" s="218"/>
      <c r="GI47" s="191"/>
      <c r="GJ47" s="218"/>
      <c r="GK47" s="193"/>
      <c r="GL47" s="219"/>
      <c r="GM47" s="219"/>
      <c r="GN47" s="220"/>
      <c r="GO47" s="189"/>
      <c r="GP47" s="191"/>
      <c r="GQ47" s="189"/>
      <c r="GR47" s="189"/>
      <c r="GS47" s="356"/>
      <c r="GT47" s="245"/>
      <c r="GU47" s="218"/>
      <c r="GV47" s="191"/>
      <c r="GW47" s="218"/>
      <c r="GX47" s="218"/>
      <c r="GY47" s="191"/>
      <c r="GZ47" s="191"/>
      <c r="HA47" s="192"/>
      <c r="HB47" s="218"/>
      <c r="HC47" s="191"/>
      <c r="HD47" s="218"/>
      <c r="HE47" s="193"/>
      <c r="HF47" s="219"/>
      <c r="HG47" s="219"/>
      <c r="HH47" s="220"/>
      <c r="HI47" s="189"/>
      <c r="HJ47" s="191"/>
      <c r="HK47" s="189"/>
      <c r="HL47" s="189"/>
      <c r="HM47" s="356"/>
      <c r="HN47" s="245"/>
      <c r="HO47" s="218"/>
      <c r="HP47" s="191"/>
      <c r="HQ47" s="218"/>
      <c r="HR47" s="218"/>
      <c r="HS47" s="191"/>
      <c r="HT47" s="191"/>
      <c r="HU47" s="192"/>
      <c r="HV47" s="218"/>
      <c r="HW47" s="191"/>
      <c r="HX47" s="218"/>
      <c r="HY47" s="193"/>
      <c r="HZ47" s="219"/>
      <c r="IA47" s="219"/>
      <c r="IB47" s="220"/>
      <c r="IC47" s="189"/>
      <c r="ID47" s="191"/>
      <c r="IE47" s="189"/>
      <c r="IF47" s="189"/>
    </row>
    <row r="48" spans="1:2" ht="12.75">
      <c r="A48" s="228"/>
      <c r="B48" s="228"/>
    </row>
    <row r="49" ht="12.75">
      <c r="G49" s="226"/>
    </row>
    <row r="50" spans="1:2" ht="12.75">
      <c r="A50" t="s">
        <v>213</v>
      </c>
      <c r="B50">
        <v>365</v>
      </c>
    </row>
    <row r="52" spans="1:20" ht="12.75">
      <c r="A52" s="507" t="s">
        <v>127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</row>
    <row r="53" spans="1:20" ht="12.75">
      <c r="A53" s="507" t="s">
        <v>268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</row>
    <row r="54" spans="1:20" ht="12.75">
      <c r="A54" s="506" t="s">
        <v>182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</row>
    <row r="55" spans="1:2" ht="12.75">
      <c r="A55" s="228"/>
      <c r="B55" s="228"/>
    </row>
    <row r="56" spans="1:8" ht="12.75">
      <c r="A56" s="229" t="s">
        <v>165</v>
      </c>
      <c r="B56" s="228"/>
      <c r="H56" s="301" t="s">
        <v>170</v>
      </c>
    </row>
    <row r="57" spans="1:8" ht="12.75">
      <c r="A57" s="229" t="s">
        <v>166</v>
      </c>
      <c r="B57" s="228"/>
      <c r="H57" s="301" t="s">
        <v>171</v>
      </c>
    </row>
    <row r="58" spans="1:2" ht="12.75">
      <c r="A58" s="228"/>
      <c r="B58" s="228"/>
    </row>
    <row r="59" spans="1:2" ht="12.75">
      <c r="A59" s="228"/>
      <c r="B59" s="228"/>
    </row>
    <row r="60" spans="2:4" ht="12.75">
      <c r="B60" s="228"/>
      <c r="D60" s="229"/>
    </row>
    <row r="61" spans="1:20" ht="12.75">
      <c r="A61" s="507" t="s">
        <v>153</v>
      </c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</row>
    <row r="62" ht="13.5" thickBot="1"/>
    <row r="63" spans="1:16" ht="13.5" thickBot="1">
      <c r="A63" s="228"/>
      <c r="B63" s="228"/>
      <c r="C63" s="493" t="s">
        <v>148</v>
      </c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494"/>
    </row>
    <row r="64" spans="1:20" ht="13.5" thickBot="1">
      <c r="A64" s="229"/>
      <c r="B64" s="228"/>
      <c r="C64" s="502" t="s">
        <v>197</v>
      </c>
      <c r="D64" s="501"/>
      <c r="E64" s="501"/>
      <c r="F64" s="494"/>
      <c r="G64" s="502" t="s">
        <v>196</v>
      </c>
      <c r="H64" s="501"/>
      <c r="I64" s="494"/>
      <c r="J64" s="493" t="s">
        <v>204</v>
      </c>
      <c r="K64" s="501"/>
      <c r="L64" s="501"/>
      <c r="M64" s="494"/>
      <c r="N64" s="493" t="s">
        <v>265</v>
      </c>
      <c r="O64" s="501"/>
      <c r="P64" s="494"/>
      <c r="Q64" s="493" t="s">
        <v>134</v>
      </c>
      <c r="R64" s="501"/>
      <c r="S64" s="501"/>
      <c r="T64" s="494"/>
    </row>
    <row r="65" spans="1:20" ht="12.75">
      <c r="A65" s="228"/>
      <c r="B65" s="228"/>
      <c r="C65" s="234" t="s">
        <v>19</v>
      </c>
      <c r="D65" s="234" t="s">
        <v>3</v>
      </c>
      <c r="E65" s="234" t="s">
        <v>18</v>
      </c>
      <c r="F65" s="234" t="s">
        <v>10</v>
      </c>
      <c r="G65" s="234" t="s">
        <v>3</v>
      </c>
      <c r="H65" s="235" t="s">
        <v>18</v>
      </c>
      <c r="I65" s="235" t="s">
        <v>10</v>
      </c>
      <c r="J65" s="236" t="s">
        <v>19</v>
      </c>
      <c r="K65" s="234" t="s">
        <v>3</v>
      </c>
      <c r="L65" s="234" t="s">
        <v>18</v>
      </c>
      <c r="M65" s="235" t="s">
        <v>10</v>
      </c>
      <c r="N65" s="234" t="s">
        <v>3</v>
      </c>
      <c r="O65" s="234" t="s">
        <v>18</v>
      </c>
      <c r="P65" s="234" t="s">
        <v>10</v>
      </c>
      <c r="Q65" s="236" t="s">
        <v>19</v>
      </c>
      <c r="R65" s="234" t="s">
        <v>135</v>
      </c>
      <c r="S65" s="234" t="s">
        <v>18</v>
      </c>
      <c r="T65" s="235" t="s">
        <v>10</v>
      </c>
    </row>
    <row r="66" spans="1:20" ht="13.5" thickBot="1">
      <c r="A66" s="230"/>
      <c r="B66" s="230"/>
      <c r="C66" s="237" t="s">
        <v>37</v>
      </c>
      <c r="D66" s="237" t="s">
        <v>1</v>
      </c>
      <c r="E66" s="237"/>
      <c r="F66" s="237"/>
      <c r="G66" s="428" t="s">
        <v>67</v>
      </c>
      <c r="H66" s="238"/>
      <c r="I66" s="238"/>
      <c r="J66" s="239" t="s">
        <v>201</v>
      </c>
      <c r="K66" s="267" t="s">
        <v>201</v>
      </c>
      <c r="L66" s="237"/>
      <c r="M66" s="238"/>
      <c r="N66" s="240" t="s">
        <v>5</v>
      </c>
      <c r="O66" s="240"/>
      <c r="P66" s="237"/>
      <c r="Q66" s="241" t="s">
        <v>38</v>
      </c>
      <c r="R66" s="240" t="s">
        <v>133</v>
      </c>
      <c r="S66" s="237"/>
      <c r="T66" s="238"/>
    </row>
    <row r="67" spans="1:20" ht="13.5" thickBot="1">
      <c r="A67" s="245" t="s">
        <v>24</v>
      </c>
      <c r="B67" s="245" t="s">
        <v>39</v>
      </c>
      <c r="C67" s="172"/>
      <c r="D67" s="173">
        <v>1065</v>
      </c>
      <c r="E67" s="172"/>
      <c r="F67" s="172"/>
      <c r="G67" s="173">
        <v>1095</v>
      </c>
      <c r="H67" s="174">
        <f>G67-D67</f>
        <v>30</v>
      </c>
      <c r="I67" s="175">
        <f>H67/G67</f>
        <v>0.0273972602739726</v>
      </c>
      <c r="J67" s="263"/>
      <c r="K67" s="173">
        <f>SUM(HW14+D67)</f>
        <v>18526</v>
      </c>
      <c r="L67" s="265"/>
      <c r="M67" s="251"/>
      <c r="N67" s="256">
        <f>SUM(HZ14+G67)</f>
        <v>17309</v>
      </c>
      <c r="O67" s="253">
        <f aca="true" t="shared" si="59" ref="O67:O76">N67-K67</f>
        <v>-1217</v>
      </c>
      <c r="P67" s="177">
        <f>O67/N67</f>
        <v>-0.07031024322606737</v>
      </c>
      <c r="Q67" s="178"/>
      <c r="R67" s="179"/>
      <c r="S67" s="178"/>
      <c r="T67" s="178"/>
    </row>
    <row r="68" spans="1:20" ht="13.5" thickBot="1">
      <c r="A68" s="242"/>
      <c r="B68" s="244" t="s">
        <v>40</v>
      </c>
      <c r="C68" s="180"/>
      <c r="D68" s="181">
        <v>46</v>
      </c>
      <c r="E68" s="180"/>
      <c r="F68" s="180"/>
      <c r="G68" s="181">
        <v>49</v>
      </c>
      <c r="H68" s="249">
        <f aca="true" t="shared" si="60" ref="H68:H76">G68-D68</f>
        <v>3</v>
      </c>
      <c r="I68" s="183">
        <f aca="true" t="shared" si="61" ref="I68:I76">H68/G68</f>
        <v>0.061224489795918366</v>
      </c>
      <c r="J68" s="264"/>
      <c r="K68" s="202">
        <f>SUM(HW15+D68)</f>
        <v>707</v>
      </c>
      <c r="L68" s="266"/>
      <c r="M68" s="252"/>
      <c r="N68" s="255">
        <f>SUM(HZ15+G68)</f>
        <v>767</v>
      </c>
      <c r="O68" s="254">
        <f t="shared" si="59"/>
        <v>60</v>
      </c>
      <c r="P68" s="186">
        <f aca="true" t="shared" si="62" ref="P68:P76">O68/N68</f>
        <v>0.07822685788787484</v>
      </c>
      <c r="Q68" s="178"/>
      <c r="R68" s="187"/>
      <c r="S68" s="178"/>
      <c r="T68" s="178"/>
    </row>
    <row r="69" spans="1:20" ht="13.5" thickBot="1">
      <c r="A69" s="243"/>
      <c r="B69" s="233" t="s">
        <v>26</v>
      </c>
      <c r="C69" s="189"/>
      <c r="D69" s="190">
        <f>SUM(D67:D68)</f>
        <v>1111</v>
      </c>
      <c r="E69" s="189"/>
      <c r="F69" s="189"/>
      <c r="G69" s="190">
        <f>SUM(G67:G68)</f>
        <v>1144</v>
      </c>
      <c r="H69" s="250">
        <f t="shared" si="60"/>
        <v>33</v>
      </c>
      <c r="I69" s="192">
        <f t="shared" si="61"/>
        <v>0.028846153846153848</v>
      </c>
      <c r="J69" s="189"/>
      <c r="K69" s="181">
        <f>SUM(K67:K68)</f>
        <v>19233</v>
      </c>
      <c r="L69" s="189"/>
      <c r="M69" s="193"/>
      <c r="N69" s="195">
        <f>SUM(N67:N68)</f>
        <v>18076</v>
      </c>
      <c r="O69" s="185">
        <f t="shared" si="59"/>
        <v>-1157</v>
      </c>
      <c r="P69" s="192">
        <f t="shared" si="62"/>
        <v>-0.06400752378844878</v>
      </c>
      <c r="Q69" s="178"/>
      <c r="R69" s="194">
        <f>SUM(R67:R68)</f>
        <v>0</v>
      </c>
      <c r="S69" s="178"/>
      <c r="T69" s="178"/>
    </row>
    <row r="70" spans="1:20" ht="13.5" thickBot="1">
      <c r="A70" s="245" t="s">
        <v>41</v>
      </c>
      <c r="B70" s="245" t="s">
        <v>42</v>
      </c>
      <c r="C70" s="180"/>
      <c r="D70" s="181">
        <v>391</v>
      </c>
      <c r="E70" s="180"/>
      <c r="F70" s="180"/>
      <c r="G70" s="181">
        <v>561</v>
      </c>
      <c r="H70" s="249">
        <f t="shared" si="60"/>
        <v>170</v>
      </c>
      <c r="I70" s="183">
        <f t="shared" si="61"/>
        <v>0.30303030303030304</v>
      </c>
      <c r="J70" s="264"/>
      <c r="K70" s="173">
        <f>SUM(HW18+D70)</f>
        <v>6927</v>
      </c>
      <c r="L70" s="266"/>
      <c r="M70" s="252"/>
      <c r="N70" s="256">
        <f>SUM(HZ18+G70)</f>
        <v>7553</v>
      </c>
      <c r="O70" s="257">
        <f t="shared" si="59"/>
        <v>626</v>
      </c>
      <c r="P70" s="183">
        <f t="shared" si="62"/>
        <v>0.0828809744472395</v>
      </c>
      <c r="Q70" s="178"/>
      <c r="R70" s="179"/>
      <c r="S70" s="178"/>
      <c r="T70" s="178"/>
    </row>
    <row r="71" spans="1:20" ht="13.5" thickBot="1">
      <c r="A71" s="242"/>
      <c r="B71" s="245" t="s">
        <v>43</v>
      </c>
      <c r="C71" s="180"/>
      <c r="D71" s="181">
        <v>45</v>
      </c>
      <c r="E71" s="180"/>
      <c r="F71" s="180"/>
      <c r="G71" s="181">
        <v>49</v>
      </c>
      <c r="H71" s="249">
        <f t="shared" si="60"/>
        <v>4</v>
      </c>
      <c r="I71" s="183">
        <f t="shared" si="61"/>
        <v>0.08163265306122448</v>
      </c>
      <c r="J71" s="264"/>
      <c r="K71" s="181">
        <f>SUM(HW19+D71)</f>
        <v>704</v>
      </c>
      <c r="L71" s="266"/>
      <c r="M71" s="252"/>
      <c r="N71" s="195">
        <f>SUM(HZ19+G71)</f>
        <v>743</v>
      </c>
      <c r="O71" s="257">
        <f t="shared" si="59"/>
        <v>39</v>
      </c>
      <c r="P71" s="183">
        <f t="shared" si="62"/>
        <v>0.052489905787348586</v>
      </c>
      <c r="Q71" s="178"/>
      <c r="R71" s="196"/>
      <c r="S71" s="178"/>
      <c r="T71" s="178"/>
    </row>
    <row r="72" spans="1:20" ht="13.5" thickBot="1">
      <c r="A72" s="242"/>
      <c r="B72" s="244" t="s">
        <v>44</v>
      </c>
      <c r="C72" s="180"/>
      <c r="D72" s="181">
        <v>263</v>
      </c>
      <c r="E72" s="180"/>
      <c r="F72" s="180"/>
      <c r="G72" s="181">
        <v>298</v>
      </c>
      <c r="H72" s="197">
        <f t="shared" si="60"/>
        <v>35</v>
      </c>
      <c r="I72" s="183">
        <f t="shared" si="61"/>
        <v>0.1174496644295302</v>
      </c>
      <c r="J72" s="264"/>
      <c r="K72" s="202">
        <f>SUM(HW20+D72)</f>
        <v>4185</v>
      </c>
      <c r="L72" s="266"/>
      <c r="M72" s="252"/>
      <c r="N72" s="255">
        <f>SUM(HZ20+G72)</f>
        <v>3770</v>
      </c>
      <c r="O72" s="257">
        <f t="shared" si="59"/>
        <v>-415</v>
      </c>
      <c r="P72" s="183">
        <f t="shared" si="62"/>
        <v>-0.11007957559681697</v>
      </c>
      <c r="Q72" s="178"/>
      <c r="R72" s="187"/>
      <c r="S72" s="178"/>
      <c r="T72" s="178"/>
    </row>
    <row r="73" spans="1:20" ht="13.5" thickBot="1">
      <c r="A73" s="243"/>
      <c r="B73" s="233" t="s">
        <v>26</v>
      </c>
      <c r="C73" s="189"/>
      <c r="D73" s="190">
        <f>SUM(D70:D72)</f>
        <v>699</v>
      </c>
      <c r="E73" s="189"/>
      <c r="F73" s="189"/>
      <c r="G73" s="190">
        <f>SUM(G70:G72)</f>
        <v>908</v>
      </c>
      <c r="H73" s="198">
        <f t="shared" si="60"/>
        <v>209</v>
      </c>
      <c r="I73" s="192">
        <f t="shared" si="61"/>
        <v>0.2301762114537445</v>
      </c>
      <c r="J73" s="189"/>
      <c r="K73" s="181">
        <f>SUM(K70:K72)</f>
        <v>11816</v>
      </c>
      <c r="L73" s="189"/>
      <c r="M73" s="193"/>
      <c r="N73" s="195">
        <f>SUM(N70:N72)</f>
        <v>12066</v>
      </c>
      <c r="O73" s="199">
        <f t="shared" si="59"/>
        <v>250</v>
      </c>
      <c r="P73" s="192">
        <f t="shared" si="62"/>
        <v>0.020719376761147025</v>
      </c>
      <c r="Q73" s="178"/>
      <c r="R73" s="194">
        <f>SUM(R70:R72)</f>
        <v>0</v>
      </c>
      <c r="S73" s="178"/>
      <c r="T73" s="178"/>
    </row>
    <row r="74" spans="1:20" ht="12.75">
      <c r="A74" s="242" t="s">
        <v>45</v>
      </c>
      <c r="B74" s="231" t="s">
        <v>39</v>
      </c>
      <c r="C74" s="180"/>
      <c r="D74" s="181">
        <v>447</v>
      </c>
      <c r="E74" s="180"/>
      <c r="F74" s="180"/>
      <c r="G74" s="181">
        <v>417</v>
      </c>
      <c r="H74" s="197">
        <f t="shared" si="60"/>
        <v>-30</v>
      </c>
      <c r="I74" s="183">
        <f t="shared" si="61"/>
        <v>-0.07194244604316546</v>
      </c>
      <c r="J74" s="264"/>
      <c r="K74" s="173">
        <f>SUM(HW23+D74)</f>
        <v>6322</v>
      </c>
      <c r="L74" s="266"/>
      <c r="M74" s="252"/>
      <c r="N74" s="256">
        <f>SUM(HZ23+G74)</f>
        <v>6228</v>
      </c>
      <c r="O74" s="257">
        <f t="shared" si="59"/>
        <v>-94</v>
      </c>
      <c r="P74" s="183">
        <f t="shared" si="62"/>
        <v>-0.015093127809890815</v>
      </c>
      <c r="Q74" s="178"/>
      <c r="R74" s="179"/>
      <c r="S74" s="178"/>
      <c r="T74" s="178"/>
    </row>
    <row r="75" spans="1:20" ht="13.5" thickBot="1">
      <c r="A75" s="242"/>
      <c r="B75" s="228" t="s">
        <v>40</v>
      </c>
      <c r="C75" s="180"/>
      <c r="D75" s="181">
        <v>49</v>
      </c>
      <c r="E75" s="180"/>
      <c r="F75" s="180"/>
      <c r="G75" s="181">
        <v>49</v>
      </c>
      <c r="H75" s="197">
        <f t="shared" si="60"/>
        <v>0</v>
      </c>
      <c r="I75" s="183">
        <f t="shared" si="61"/>
        <v>0</v>
      </c>
      <c r="J75" s="264"/>
      <c r="K75" s="202">
        <f>SUM(HW24+D75)</f>
        <v>712</v>
      </c>
      <c r="L75" s="266"/>
      <c r="M75" s="252"/>
      <c r="N75" s="255">
        <f>SUM(HZ24+G75)</f>
        <v>757</v>
      </c>
      <c r="O75" s="257">
        <f t="shared" si="59"/>
        <v>45</v>
      </c>
      <c r="P75" s="183">
        <f t="shared" si="62"/>
        <v>0.059445178335535004</v>
      </c>
      <c r="Q75" s="178"/>
      <c r="R75" s="187"/>
      <c r="S75" s="178"/>
      <c r="T75" s="178"/>
    </row>
    <row r="76" spans="1:20" ht="13.5" thickBot="1">
      <c r="A76" s="243"/>
      <c r="B76" s="233" t="s">
        <v>26</v>
      </c>
      <c r="C76" s="189"/>
      <c r="D76" s="190">
        <f>SUM(D74:D75)</f>
        <v>496</v>
      </c>
      <c r="E76" s="189"/>
      <c r="F76" s="189"/>
      <c r="G76" s="190">
        <f>SUM(G74:G75)</f>
        <v>466</v>
      </c>
      <c r="H76" s="198">
        <f t="shared" si="60"/>
        <v>-30</v>
      </c>
      <c r="I76" s="192">
        <f t="shared" si="61"/>
        <v>-0.06437768240343347</v>
      </c>
      <c r="J76" s="189"/>
      <c r="K76" s="202">
        <f>SUM(K74:K75)</f>
        <v>7034</v>
      </c>
      <c r="L76" s="189"/>
      <c r="M76" s="193"/>
      <c r="N76" s="260">
        <f>SUM(N74:N75)</f>
        <v>6985</v>
      </c>
      <c r="O76" s="199">
        <f t="shared" si="59"/>
        <v>-49</v>
      </c>
      <c r="P76" s="192">
        <f t="shared" si="62"/>
        <v>-0.007015032211882605</v>
      </c>
      <c r="Q76" s="178"/>
      <c r="R76" s="198">
        <f>SUM(R74:R75)</f>
        <v>0</v>
      </c>
      <c r="S76" s="178"/>
      <c r="T76" s="178"/>
    </row>
    <row r="77" spans="1:2" ht="13.5" thickBot="1">
      <c r="A77" s="228"/>
      <c r="B77" s="228"/>
    </row>
    <row r="78" spans="1:13" ht="13.5" thickBot="1">
      <c r="A78" s="245" t="s">
        <v>25</v>
      </c>
      <c r="B78" s="247"/>
      <c r="C78" s="262"/>
      <c r="D78" s="262"/>
      <c r="E78" s="262"/>
      <c r="F78" s="262"/>
      <c r="G78" s="262"/>
      <c r="H78" s="262"/>
      <c r="I78" s="262"/>
      <c r="J78" s="262"/>
      <c r="K78" s="268"/>
      <c r="L78" s="262"/>
      <c r="M78" s="262"/>
    </row>
    <row r="79" spans="1:20" ht="13.5" thickBot="1">
      <c r="A79" s="246" t="s">
        <v>46</v>
      </c>
      <c r="B79" s="245" t="s">
        <v>39</v>
      </c>
      <c r="C79" s="180"/>
      <c r="D79" s="197">
        <v>137018.41</v>
      </c>
      <c r="E79" s="180"/>
      <c r="F79" s="180"/>
      <c r="G79" s="181">
        <v>115963</v>
      </c>
      <c r="H79" s="197">
        <f>G79-D79</f>
        <v>-21055.410000000003</v>
      </c>
      <c r="I79" s="183">
        <f>H79/G79</f>
        <v>-0.18157006976363152</v>
      </c>
      <c r="J79" s="264"/>
      <c r="K79" s="173">
        <f>SUM(HW29+D79)</f>
        <v>2218193.0799999996</v>
      </c>
      <c r="L79" s="266"/>
      <c r="M79" s="180"/>
      <c r="N79" s="256">
        <f>SUM(HZ29+G79)</f>
        <v>1825359.24</v>
      </c>
      <c r="O79" s="258">
        <f>N79-K79</f>
        <v>-392833.8399999996</v>
      </c>
      <c r="P79" s="175">
        <f>O79/N79</f>
        <v>-0.21520905660192108</v>
      </c>
      <c r="Q79" s="201"/>
      <c r="R79" s="200"/>
      <c r="S79" s="200">
        <f>Q79-R79</f>
        <v>0</v>
      </c>
      <c r="T79" s="177" t="e">
        <f>S79/Q79</f>
        <v>#DIV/0!</v>
      </c>
    </row>
    <row r="80" spans="1:20" ht="13.5" thickBot="1">
      <c r="A80" s="242" t="s">
        <v>47</v>
      </c>
      <c r="B80" s="244" t="s">
        <v>40</v>
      </c>
      <c r="C80" s="180"/>
      <c r="D80" s="203">
        <v>4008.04</v>
      </c>
      <c r="E80" s="180"/>
      <c r="F80" s="180"/>
      <c r="G80" s="202">
        <v>2678</v>
      </c>
      <c r="H80" s="203">
        <f>G80-D80</f>
        <v>-1330.04</v>
      </c>
      <c r="I80" s="183">
        <f>H80/G80</f>
        <v>-0.4966542195668409</v>
      </c>
      <c r="J80" s="264"/>
      <c r="K80" s="202">
        <f>SUM(HW30+D80)</f>
        <v>51194.76999999999</v>
      </c>
      <c r="L80" s="266"/>
      <c r="M80" s="180"/>
      <c r="N80" s="255">
        <f>SUM(HZ30+G80)</f>
        <v>52838.92</v>
      </c>
      <c r="O80" s="259">
        <f>N80-K80</f>
        <v>1644.1500000000087</v>
      </c>
      <c r="P80" s="183">
        <f>O80/N80</f>
        <v>0.031116268084207793</v>
      </c>
      <c r="Q80" s="206"/>
      <c r="R80" s="203"/>
      <c r="S80" s="203">
        <f>Q80-R80</f>
        <v>0</v>
      </c>
      <c r="T80" s="207" t="e">
        <f>S80/Q80</f>
        <v>#DIV/0!</v>
      </c>
    </row>
    <row r="81" spans="1:20" ht="13.5" thickBot="1">
      <c r="A81" s="243"/>
      <c r="B81" s="233" t="s">
        <v>26</v>
      </c>
      <c r="C81" s="189"/>
      <c r="D81" s="198">
        <f>SUM(D79:D80)</f>
        <v>141026.45</v>
      </c>
      <c r="E81" s="189"/>
      <c r="F81" s="189"/>
      <c r="G81" s="190">
        <f>SUM(G79:G80)</f>
        <v>118641</v>
      </c>
      <c r="H81" s="198">
        <f>G81-D81</f>
        <v>-22385.45000000001</v>
      </c>
      <c r="I81" s="192">
        <f>H81/G81</f>
        <v>-0.18868224306942805</v>
      </c>
      <c r="J81" s="189"/>
      <c r="K81" s="203">
        <f>SUM(K79:K80)</f>
        <v>2269387.8499999996</v>
      </c>
      <c r="L81" s="189"/>
      <c r="M81" s="189"/>
      <c r="N81" s="204">
        <f>SUM(N79:N80)</f>
        <v>1878198.16</v>
      </c>
      <c r="O81" s="198">
        <f>N81-K81</f>
        <v>-391189.6899999997</v>
      </c>
      <c r="P81" s="192">
        <f>O81/N81</f>
        <v>-0.20827924248419014</v>
      </c>
      <c r="Q81" s="188">
        <f>SUM(Q79:Q80)</f>
        <v>0</v>
      </c>
      <c r="R81" s="198">
        <f>SUM(R79:R80)</f>
        <v>0</v>
      </c>
      <c r="S81" s="208">
        <f>Q81-R81</f>
        <v>0</v>
      </c>
      <c r="T81" s="209" t="e">
        <f>S81/Q81</f>
        <v>#DIV/0!</v>
      </c>
    </row>
    <row r="82" spans="1:2" ht="13.5" thickBot="1">
      <c r="A82" s="242"/>
      <c r="B82" s="232"/>
    </row>
    <row r="83" spans="1:20" ht="13.5" thickBot="1">
      <c r="A83" s="245" t="s">
        <v>48</v>
      </c>
      <c r="B83" s="245" t="s">
        <v>39</v>
      </c>
      <c r="C83" s="210"/>
      <c r="D83" s="211">
        <f>D79/D67</f>
        <v>128.65578403755867</v>
      </c>
      <c r="E83" s="210"/>
      <c r="F83" s="210"/>
      <c r="G83" s="211">
        <f>G79/G67</f>
        <v>105.90228310502283</v>
      </c>
      <c r="H83" s="211">
        <f>G83-D83</f>
        <v>-22.753500932535843</v>
      </c>
      <c r="I83" s="175">
        <f>H83/G83</f>
        <v>-0.2148537337006351</v>
      </c>
      <c r="J83" s="210"/>
      <c r="K83" s="211">
        <f>K79/K67</f>
        <v>119.73405376228001</v>
      </c>
      <c r="L83" s="172"/>
      <c r="M83" s="176"/>
      <c r="N83" s="212">
        <f>N79/N67</f>
        <v>105.45723265353284</v>
      </c>
      <c r="O83" s="212">
        <f>N83-K83</f>
        <v>-14.276821108747171</v>
      </c>
      <c r="P83" s="213">
        <f>O83/N83</f>
        <v>-0.13538019867875695</v>
      </c>
      <c r="Q83" s="178"/>
      <c r="R83" s="211" t="e">
        <f>R79/R67</f>
        <v>#DIV/0!</v>
      </c>
      <c r="S83" s="178"/>
      <c r="T83" s="178"/>
    </row>
    <row r="84" spans="1:20" ht="13.5" thickBot="1">
      <c r="A84" s="242"/>
      <c r="B84" s="244" t="s">
        <v>40</v>
      </c>
      <c r="C84" s="214"/>
      <c r="D84" s="182">
        <f>D80/D68</f>
        <v>87.13130434782609</v>
      </c>
      <c r="E84" s="214"/>
      <c r="F84" s="214"/>
      <c r="G84" s="182">
        <f>G80/G68</f>
        <v>54.6530612244898</v>
      </c>
      <c r="H84" s="182">
        <f>G84-D84</f>
        <v>-32.47824312333629</v>
      </c>
      <c r="I84" s="183">
        <f>H84/G84</f>
        <v>-0.5942621034516349</v>
      </c>
      <c r="J84" s="214"/>
      <c r="K84" s="182">
        <f>K80/K68</f>
        <v>72.41127298444128</v>
      </c>
      <c r="L84" s="180"/>
      <c r="M84" s="184"/>
      <c r="N84" s="215">
        <f>N80/N68</f>
        <v>68.8903780964798</v>
      </c>
      <c r="O84" s="215">
        <f>N84-K84</f>
        <v>-3.5208948879614894</v>
      </c>
      <c r="P84" s="216">
        <f>O84/N84</f>
        <v>-0.05110865965970656</v>
      </c>
      <c r="Q84" s="178"/>
      <c r="R84" s="217" t="e">
        <f>R80/R68</f>
        <v>#DIV/0!</v>
      </c>
      <c r="S84" s="178"/>
      <c r="T84" s="178"/>
    </row>
    <row r="85" spans="1:20" ht="13.5" thickBot="1">
      <c r="A85" s="245" t="s">
        <v>49</v>
      </c>
      <c r="B85" s="233"/>
      <c r="C85" s="218"/>
      <c r="D85" s="191">
        <f>D81/D73</f>
        <v>201.7545779685265</v>
      </c>
      <c r="E85" s="218"/>
      <c r="F85" s="218"/>
      <c r="G85" s="191">
        <f>G81/G73</f>
        <v>130.66189427312776</v>
      </c>
      <c r="H85" s="191">
        <f>G85-D85</f>
        <v>-71.09268369539873</v>
      </c>
      <c r="I85" s="192">
        <f>H85/G85</f>
        <v>-0.5440965332003443</v>
      </c>
      <c r="J85" s="218"/>
      <c r="K85" s="191">
        <f>K81/K73</f>
        <v>192.06058310765061</v>
      </c>
      <c r="L85" s="189"/>
      <c r="M85" s="193"/>
      <c r="N85" s="219">
        <f>N81/N73</f>
        <v>155.6603812365324</v>
      </c>
      <c r="O85" s="219">
        <f>N85-K85</f>
        <v>-36.40020187111821</v>
      </c>
      <c r="P85" s="220">
        <f>O85/N85</f>
        <v>-0.23384371528556516</v>
      </c>
      <c r="Q85" s="178"/>
      <c r="R85" s="191" t="e">
        <f>R81/R73</f>
        <v>#DIV/0!</v>
      </c>
      <c r="S85" s="178"/>
      <c r="T85" s="178"/>
    </row>
    <row r="86" spans="1:20" ht="13.5" thickBot="1">
      <c r="A86" s="245" t="s">
        <v>50</v>
      </c>
      <c r="B86" s="244" t="s">
        <v>39</v>
      </c>
      <c r="C86" s="214"/>
      <c r="D86" s="182">
        <f>D79/D74</f>
        <v>306.52888143176733</v>
      </c>
      <c r="E86" s="214"/>
      <c r="F86" s="214"/>
      <c r="G86" s="182">
        <f>G79/G74</f>
        <v>278.08872901678654</v>
      </c>
      <c r="H86" s="182">
        <f>G86-D86</f>
        <v>-28.440152414980787</v>
      </c>
      <c r="I86" s="183">
        <f>H86/G86</f>
        <v>-0.10227006508150867</v>
      </c>
      <c r="J86" s="214"/>
      <c r="K86" s="182">
        <f>K79/K74</f>
        <v>350.8688832647896</v>
      </c>
      <c r="L86" s="180"/>
      <c r="M86" s="184"/>
      <c r="N86" s="215">
        <f>N79/N74</f>
        <v>293.08915221579963</v>
      </c>
      <c r="O86" s="215">
        <f>N86-K86</f>
        <v>-57.77973104898996</v>
      </c>
      <c r="P86" s="216">
        <f>O86/N86</f>
        <v>-0.19714046259360402</v>
      </c>
      <c r="Q86" s="178"/>
      <c r="R86" s="211" t="e">
        <f>R79/R74</f>
        <v>#DIV/0!</v>
      </c>
      <c r="S86" s="178"/>
      <c r="T86" s="178"/>
    </row>
    <row r="87" spans="1:20" ht="13.5" thickBot="1">
      <c r="A87" s="242"/>
      <c r="B87" s="245" t="s">
        <v>40</v>
      </c>
      <c r="C87" s="221"/>
      <c r="D87" s="217">
        <f>D80/D75</f>
        <v>81.79673469387755</v>
      </c>
      <c r="E87" s="221"/>
      <c r="F87" s="221"/>
      <c r="G87" s="217">
        <f>G80/G75</f>
        <v>54.6530612244898</v>
      </c>
      <c r="H87" s="217">
        <f>G87-D87</f>
        <v>-27.143673469387757</v>
      </c>
      <c r="I87" s="205">
        <f>H87/G87</f>
        <v>-0.49665421956684097</v>
      </c>
      <c r="J87" s="221"/>
      <c r="K87" s="217">
        <f>K80/K75</f>
        <v>71.90276685393258</v>
      </c>
      <c r="L87" s="222"/>
      <c r="M87" s="223"/>
      <c r="N87" s="224">
        <f>N80/N75</f>
        <v>69.80042272126816</v>
      </c>
      <c r="O87" s="224">
        <f>N87-K87</f>
        <v>-2.1023441326644132</v>
      </c>
      <c r="P87" s="225">
        <f>O87/N87</f>
        <v>-0.030119361039683643</v>
      </c>
      <c r="Q87" s="178"/>
      <c r="R87" s="217" t="e">
        <f>R80/R75</f>
        <v>#DIV/0!</v>
      </c>
      <c r="S87" s="178"/>
      <c r="T87" s="178"/>
    </row>
    <row r="88" spans="1:16" ht="13.5" thickBot="1">
      <c r="A88" s="242"/>
      <c r="B88" s="228"/>
      <c r="N88" s="226"/>
      <c r="O88" s="226"/>
      <c r="P88" s="227"/>
    </row>
    <row r="89" spans="1:20" ht="13.5" thickBot="1">
      <c r="A89" s="245" t="s">
        <v>51</v>
      </c>
      <c r="B89" s="245" t="s">
        <v>39</v>
      </c>
      <c r="C89" s="210"/>
      <c r="D89" s="211">
        <f>D67/D74</f>
        <v>2.38255033557047</v>
      </c>
      <c r="E89" s="210"/>
      <c r="F89" s="210"/>
      <c r="G89" s="211">
        <f>G67/G74</f>
        <v>2.6258992805755397</v>
      </c>
      <c r="H89" s="211">
        <f>G89-D89</f>
        <v>0.24334894500506987</v>
      </c>
      <c r="I89" s="175">
        <f>H89/G89</f>
        <v>0.09267261193343757</v>
      </c>
      <c r="J89" s="210"/>
      <c r="K89" s="211">
        <f>K67/K74</f>
        <v>2.9304017715912685</v>
      </c>
      <c r="L89" s="210"/>
      <c r="M89" s="176"/>
      <c r="N89" s="212">
        <f>N67/N74</f>
        <v>2.77922286448298</v>
      </c>
      <c r="O89" s="212">
        <f>N89-K89</f>
        <v>-0.1511789071082883</v>
      </c>
      <c r="P89" s="213">
        <f>O89/N89</f>
        <v>-0.05439610800568603</v>
      </c>
      <c r="Q89" s="178"/>
      <c r="R89" s="211" t="e">
        <f>R67/R74</f>
        <v>#DIV/0!</v>
      </c>
      <c r="S89" s="178"/>
      <c r="T89" s="178"/>
    </row>
    <row r="90" spans="1:20" ht="13.5" thickBot="1">
      <c r="A90" s="243"/>
      <c r="B90" s="248" t="s">
        <v>40</v>
      </c>
      <c r="C90" s="221"/>
      <c r="D90" s="217">
        <f>D68/D75</f>
        <v>0.9387755102040817</v>
      </c>
      <c r="E90" s="221"/>
      <c r="F90" s="221"/>
      <c r="G90" s="217">
        <f>G68/G75</f>
        <v>1</v>
      </c>
      <c r="H90" s="217">
        <f>G90-D90</f>
        <v>0.061224489795918324</v>
      </c>
      <c r="I90" s="205">
        <f>H90/G90</f>
        <v>0.061224489795918324</v>
      </c>
      <c r="J90" s="221"/>
      <c r="K90" s="217">
        <f>K68/K75</f>
        <v>0.9929775280898876</v>
      </c>
      <c r="L90" s="221"/>
      <c r="M90" s="223"/>
      <c r="N90" s="224">
        <f>N68/N75</f>
        <v>1.013210039630119</v>
      </c>
      <c r="O90" s="224">
        <f>N90-K90</f>
        <v>0.020232511540231313</v>
      </c>
      <c r="P90" s="225">
        <f>O90/N90</f>
        <v>0.019968723906069234</v>
      </c>
      <c r="Q90" s="178"/>
      <c r="R90" s="182" t="e">
        <f>R68/R75</f>
        <v>#DIV/0!</v>
      </c>
      <c r="S90" s="178"/>
      <c r="T90" s="178"/>
    </row>
    <row r="91" spans="1:20" ht="13.5" thickBot="1">
      <c r="A91" s="245" t="s">
        <v>52</v>
      </c>
      <c r="B91" s="245" t="s">
        <v>39</v>
      </c>
      <c r="C91" s="214"/>
      <c r="D91" s="182">
        <f>(D70+D72)/D74</f>
        <v>1.4630872483221478</v>
      </c>
      <c r="E91" s="214"/>
      <c r="F91" s="214"/>
      <c r="G91" s="182">
        <f>(G70+G72)/G74</f>
        <v>2.0599520383693046</v>
      </c>
      <c r="H91" s="182">
        <f>G91-D91</f>
        <v>0.5968647900471569</v>
      </c>
      <c r="I91" s="183">
        <f>H91/G91</f>
        <v>0.28974693533139045</v>
      </c>
      <c r="J91" s="214"/>
      <c r="K91" s="182">
        <f>(K70+K72)/K74</f>
        <v>1.7576716229041442</v>
      </c>
      <c r="L91" s="214"/>
      <c r="M91" s="184"/>
      <c r="N91" s="215">
        <f>(N70+N72)/N74</f>
        <v>1.8180796403339756</v>
      </c>
      <c r="O91" s="215">
        <f>N91-K91</f>
        <v>0.06040801742983137</v>
      </c>
      <c r="P91" s="216">
        <f>O91/N91</f>
        <v>0.03322627683060936</v>
      </c>
      <c r="Q91" s="178"/>
      <c r="R91" s="211" t="e">
        <f>(R70+R72)/R74</f>
        <v>#DIV/0!</v>
      </c>
      <c r="S91" s="178"/>
      <c r="T91" s="178"/>
    </row>
    <row r="92" spans="1:20" ht="13.5" thickBot="1">
      <c r="A92" s="243"/>
      <c r="B92" s="248" t="s">
        <v>40</v>
      </c>
      <c r="C92" s="221"/>
      <c r="D92" s="217">
        <f>D71/D75</f>
        <v>0.9183673469387755</v>
      </c>
      <c r="E92" s="221"/>
      <c r="F92" s="221"/>
      <c r="G92" s="217">
        <f>G71/G75</f>
        <v>1</v>
      </c>
      <c r="H92" s="217">
        <f>G92-D92</f>
        <v>0.08163265306122447</v>
      </c>
      <c r="I92" s="205">
        <f>H92/G92</f>
        <v>0.08163265306122447</v>
      </c>
      <c r="J92" s="221"/>
      <c r="K92" s="217">
        <f>K71/K75</f>
        <v>0.9887640449438202</v>
      </c>
      <c r="L92" s="221"/>
      <c r="M92" s="223"/>
      <c r="N92" s="224">
        <f>N71/N75</f>
        <v>0.9815059445178336</v>
      </c>
      <c r="O92" s="224">
        <f>N92-K92</f>
        <v>-0.007258100425986624</v>
      </c>
      <c r="P92" s="225">
        <f>O92/N92</f>
        <v>-0.007394861403057704</v>
      </c>
      <c r="Q92" s="178"/>
      <c r="R92" s="217" t="e">
        <f>R71/R75</f>
        <v>#DIV/0!</v>
      </c>
      <c r="S92" s="178"/>
      <c r="T92" s="178"/>
    </row>
  </sheetData>
  <sheetProtection/>
  <mergeCells count="130">
    <mergeCell ref="GS2:HL2"/>
    <mergeCell ref="HM1:IF1"/>
    <mergeCell ref="HM2:IF2"/>
    <mergeCell ref="HM3:IF3"/>
    <mergeCell ref="GS1:HL1"/>
    <mergeCell ref="HM8:IF8"/>
    <mergeCell ref="GS3:HL3"/>
    <mergeCell ref="FE8:FX8"/>
    <mergeCell ref="FY1:GR1"/>
    <mergeCell ref="FY2:GR2"/>
    <mergeCell ref="FY3:GR3"/>
    <mergeCell ref="FY8:GR8"/>
    <mergeCell ref="FE1:FX1"/>
    <mergeCell ref="FE2:FX2"/>
    <mergeCell ref="GS8:HL8"/>
    <mergeCell ref="FE3:FX3"/>
    <mergeCell ref="DQ8:EJ8"/>
    <mergeCell ref="EK1:FD1"/>
    <mergeCell ref="EK2:FD2"/>
    <mergeCell ref="EK3:FD3"/>
    <mergeCell ref="EK8:FD8"/>
    <mergeCell ref="DQ1:EJ1"/>
    <mergeCell ref="DQ2:EJ2"/>
    <mergeCell ref="DQ3:EJ3"/>
    <mergeCell ref="CC8:CV8"/>
    <mergeCell ref="CW1:DP1"/>
    <mergeCell ref="CW2:DP2"/>
    <mergeCell ref="CW3:DP3"/>
    <mergeCell ref="CW8:DP8"/>
    <mergeCell ref="CC1:CV1"/>
    <mergeCell ref="CC2:CV2"/>
    <mergeCell ref="CC3:CV3"/>
    <mergeCell ref="AO8:BH8"/>
    <mergeCell ref="BI1:CB1"/>
    <mergeCell ref="BI2:CB2"/>
    <mergeCell ref="BI3:CB3"/>
    <mergeCell ref="BI8:CB8"/>
    <mergeCell ref="AO1:BH1"/>
    <mergeCell ref="AO2:BH2"/>
    <mergeCell ref="AO3:BH3"/>
    <mergeCell ref="A8:T8"/>
    <mergeCell ref="U1:AN1"/>
    <mergeCell ref="U2:AN2"/>
    <mergeCell ref="U3:AN3"/>
    <mergeCell ref="U8:AN8"/>
    <mergeCell ref="A1:T1"/>
    <mergeCell ref="A2:T2"/>
    <mergeCell ref="A3:T3"/>
    <mergeCell ref="Q64:T64"/>
    <mergeCell ref="G11:I11"/>
    <mergeCell ref="C63:P63"/>
    <mergeCell ref="C64:F64"/>
    <mergeCell ref="G64:I64"/>
    <mergeCell ref="J64:M64"/>
    <mergeCell ref="N64:P64"/>
    <mergeCell ref="A52:T52"/>
    <mergeCell ref="A61:T61"/>
    <mergeCell ref="A53:T53"/>
    <mergeCell ref="A54:T54"/>
    <mergeCell ref="C10:P10"/>
    <mergeCell ref="W10:AJ10"/>
    <mergeCell ref="W11:Z11"/>
    <mergeCell ref="AA11:AC11"/>
    <mergeCell ref="AD11:AG11"/>
    <mergeCell ref="AH11:AJ11"/>
    <mergeCell ref="C11:F11"/>
    <mergeCell ref="Q11:T11"/>
    <mergeCell ref="N11:P11"/>
    <mergeCell ref="J11:M11"/>
    <mergeCell ref="AK11:AN11"/>
    <mergeCell ref="AQ10:BD10"/>
    <mergeCell ref="AQ11:AT11"/>
    <mergeCell ref="AU11:AW11"/>
    <mergeCell ref="AX11:BA11"/>
    <mergeCell ref="BB11:BD11"/>
    <mergeCell ref="BE11:BH11"/>
    <mergeCell ref="BK10:BX10"/>
    <mergeCell ref="BK11:BN11"/>
    <mergeCell ref="BO11:BQ11"/>
    <mergeCell ref="BR11:BU11"/>
    <mergeCell ref="BV11:BX11"/>
    <mergeCell ref="BY11:CB11"/>
    <mergeCell ref="CE10:CR10"/>
    <mergeCell ref="CE11:CH11"/>
    <mergeCell ref="CI11:CK11"/>
    <mergeCell ref="CL11:CO11"/>
    <mergeCell ref="CP11:CR11"/>
    <mergeCell ref="CS11:CV11"/>
    <mergeCell ref="CY10:DL10"/>
    <mergeCell ref="CY11:DB11"/>
    <mergeCell ref="DC11:DE11"/>
    <mergeCell ref="DF11:DI11"/>
    <mergeCell ref="DJ11:DL11"/>
    <mergeCell ref="DM11:DP11"/>
    <mergeCell ref="DS10:EF10"/>
    <mergeCell ref="DS11:DV11"/>
    <mergeCell ref="DW11:DY11"/>
    <mergeCell ref="DZ11:EC11"/>
    <mergeCell ref="ED11:EF11"/>
    <mergeCell ref="EG11:EJ11"/>
    <mergeCell ref="EM10:EZ10"/>
    <mergeCell ref="EM11:EP11"/>
    <mergeCell ref="EQ11:ES11"/>
    <mergeCell ref="ET11:EW11"/>
    <mergeCell ref="EX11:EZ11"/>
    <mergeCell ref="FA11:FD11"/>
    <mergeCell ref="FG10:FT10"/>
    <mergeCell ref="FG11:FJ11"/>
    <mergeCell ref="FK11:FM11"/>
    <mergeCell ref="FN11:FQ11"/>
    <mergeCell ref="FR11:FT11"/>
    <mergeCell ref="HO11:HR11"/>
    <mergeCell ref="HS11:HU11"/>
    <mergeCell ref="FU11:FX11"/>
    <mergeCell ref="GA10:GN10"/>
    <mergeCell ref="GA11:GD11"/>
    <mergeCell ref="GE11:GG11"/>
    <mergeCell ref="GH11:GK11"/>
    <mergeCell ref="GL11:GN11"/>
    <mergeCell ref="GO11:GR11"/>
    <mergeCell ref="HV11:HY11"/>
    <mergeCell ref="HZ11:IB11"/>
    <mergeCell ref="HI11:HL11"/>
    <mergeCell ref="IC11:IF11"/>
    <mergeCell ref="GU10:HH10"/>
    <mergeCell ref="GU11:GX11"/>
    <mergeCell ref="GY11:HA11"/>
    <mergeCell ref="HB11:HE11"/>
    <mergeCell ref="HF11:HH11"/>
    <mergeCell ref="HO10:IB10"/>
  </mergeCells>
  <printOptions/>
  <pageMargins left="0.3937007874015748" right="0.3937007874015748" top="0.3937007874015748" bottom="0.3937007874015748" header="0.11811023622047245" footer="0.31496062992125984"/>
  <pageSetup horizontalDpi="600" verticalDpi="600" orientation="landscape" pageOrder="overThenDown" paperSize="5" scale="90" r:id="rId2"/>
  <headerFooter alignWithMargins="0">
    <oddHeader>&amp;C&amp;14Cité de la Santé de Laval</oddHeader>
    <oddFooter>&amp;L&amp;F&amp;C&amp;P</oddFooter>
  </headerFooter>
  <colBreaks count="10" manualBreakCount="10">
    <brk id="40" max="65535" man="1"/>
    <brk id="60" max="65535" man="1"/>
    <brk id="80" max="65535" man="1"/>
    <brk id="100" max="65535" man="1"/>
    <brk id="120" max="65535" man="1"/>
    <brk id="140" max="65535" man="1"/>
    <brk id="160" max="65535" man="1"/>
    <brk id="180" max="65535" man="1"/>
    <brk id="200" max="65535" man="1"/>
    <brk id="2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19"/>
  <sheetViews>
    <sheetView zoomScalePageLayoutView="0" workbookViewId="0" topLeftCell="A7">
      <selection activeCell="D13" sqref="D13"/>
    </sheetView>
  </sheetViews>
  <sheetFormatPr defaultColWidth="11.421875" defaultRowHeight="12.75"/>
  <cols>
    <col min="1" max="1" width="21.00390625" style="0" bestFit="1" customWidth="1"/>
    <col min="2" max="2" width="5.00390625" style="0" bestFit="1" customWidth="1"/>
    <col min="3" max="3" width="10.140625" style="0" customWidth="1"/>
    <col min="4" max="6" width="9.7109375" style="0" customWidth="1"/>
    <col min="7" max="7" width="15.7109375" style="0" customWidth="1"/>
    <col min="8" max="10" width="9.7109375" style="0" customWidth="1"/>
    <col min="12" max="12" width="21.00390625" style="0" customWidth="1"/>
    <col min="13" max="13" width="4.8515625" style="0" customWidth="1"/>
    <col min="14" max="14" width="10.140625" style="0" customWidth="1"/>
    <col min="15" max="17" width="9.7109375" style="0" customWidth="1"/>
    <col min="18" max="18" width="15.7109375" style="0" customWidth="1"/>
    <col min="19" max="21" width="9.7109375" style="0" customWidth="1"/>
    <col min="23" max="23" width="20.8515625" style="0" customWidth="1"/>
    <col min="24" max="24" width="5.00390625" style="0" customWidth="1"/>
    <col min="25" max="25" width="10.140625" style="0" customWidth="1"/>
    <col min="26" max="28" width="9.7109375" style="0" customWidth="1"/>
    <col min="29" max="29" width="15.7109375" style="0" customWidth="1"/>
    <col min="30" max="32" width="9.7109375" style="0" customWidth="1"/>
    <col min="34" max="34" width="21.00390625" style="0" customWidth="1"/>
    <col min="35" max="35" width="5.00390625" style="0" customWidth="1"/>
    <col min="36" max="36" width="9.7109375" style="0" customWidth="1"/>
    <col min="37" max="37" width="9.57421875" style="0" customWidth="1"/>
    <col min="38" max="39" width="9.7109375" style="0" customWidth="1"/>
    <col min="40" max="40" width="15.7109375" style="0" customWidth="1"/>
    <col min="41" max="43" width="9.7109375" style="0" customWidth="1"/>
    <col min="45" max="45" width="21.00390625" style="0" customWidth="1"/>
    <col min="46" max="46" width="5.00390625" style="0" customWidth="1"/>
    <col min="47" max="47" width="10.140625" style="0" customWidth="1"/>
    <col min="48" max="50" width="9.7109375" style="0" customWidth="1"/>
    <col min="51" max="51" width="15.7109375" style="0" customWidth="1"/>
    <col min="52" max="54" width="9.7109375" style="0" customWidth="1"/>
    <col min="56" max="56" width="21.00390625" style="0" customWidth="1"/>
    <col min="57" max="57" width="5.00390625" style="0" customWidth="1"/>
    <col min="58" max="58" width="10.140625" style="0" customWidth="1"/>
    <col min="59" max="61" width="9.7109375" style="0" customWidth="1"/>
    <col min="62" max="62" width="15.7109375" style="0" customWidth="1"/>
    <col min="63" max="65" width="9.7109375" style="0" customWidth="1"/>
    <col min="67" max="67" width="20.8515625" style="0" customWidth="1"/>
    <col min="68" max="68" width="5.00390625" style="0" customWidth="1"/>
    <col min="69" max="69" width="10.140625" style="0" customWidth="1"/>
    <col min="70" max="72" width="9.7109375" style="0" customWidth="1"/>
    <col min="73" max="73" width="15.7109375" style="0" customWidth="1"/>
    <col min="74" max="76" width="9.7109375" style="0" customWidth="1"/>
    <col min="78" max="78" width="21.00390625" style="0" customWidth="1"/>
    <col min="79" max="79" width="5.00390625" style="0" customWidth="1"/>
    <col min="80" max="80" width="10.140625" style="0" customWidth="1"/>
    <col min="81" max="83" width="9.7109375" style="0" customWidth="1"/>
    <col min="84" max="84" width="15.7109375" style="0" customWidth="1"/>
    <col min="85" max="87" width="9.7109375" style="0" customWidth="1"/>
    <col min="89" max="89" width="21.00390625" style="0" customWidth="1"/>
    <col min="90" max="90" width="5.00390625" style="0" customWidth="1"/>
    <col min="91" max="94" width="9.7109375" style="0" customWidth="1"/>
    <col min="95" max="95" width="15.7109375" style="0" customWidth="1"/>
    <col min="96" max="98" width="9.7109375" style="0" customWidth="1"/>
    <col min="100" max="100" width="21.00390625" style="0" customWidth="1"/>
    <col min="101" max="101" width="5.00390625" style="0" customWidth="1"/>
    <col min="102" max="102" width="10.140625" style="0" customWidth="1"/>
    <col min="103" max="105" width="9.7109375" style="0" customWidth="1"/>
    <col min="106" max="106" width="15.7109375" style="0" customWidth="1"/>
    <col min="107" max="109" width="9.7109375" style="0" customWidth="1"/>
    <col min="111" max="111" width="21.00390625" style="0" customWidth="1"/>
    <col min="112" max="112" width="5.00390625" style="0" customWidth="1"/>
    <col min="113" max="113" width="10.140625" style="0" customWidth="1"/>
    <col min="114" max="116" width="9.7109375" style="0" customWidth="1"/>
    <col min="117" max="117" width="15.7109375" style="0" customWidth="1"/>
    <col min="118" max="120" width="9.7109375" style="0" customWidth="1"/>
    <col min="122" max="122" width="20.8515625" style="0" customWidth="1"/>
    <col min="123" max="123" width="5.00390625" style="0" customWidth="1"/>
    <col min="124" max="124" width="10.140625" style="0" customWidth="1"/>
    <col min="125" max="127" width="9.7109375" style="0" customWidth="1"/>
    <col min="128" max="128" width="15.7109375" style="0" customWidth="1"/>
    <col min="129" max="131" width="9.7109375" style="0" customWidth="1"/>
    <col min="133" max="133" width="21.00390625" style="0" customWidth="1"/>
    <col min="134" max="134" width="5.00390625" style="0" customWidth="1"/>
    <col min="135" max="135" width="10.140625" style="0" customWidth="1"/>
    <col min="136" max="138" width="9.7109375" style="0" customWidth="1"/>
    <col min="139" max="139" width="15.8515625" style="0" customWidth="1"/>
    <col min="140" max="142" width="9.7109375" style="0" customWidth="1"/>
  </cols>
  <sheetData>
    <row r="1" spans="1:143" ht="12.75">
      <c r="A1" s="495" t="s">
        <v>164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 t="s">
        <v>164</v>
      </c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 t="s">
        <v>164</v>
      </c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 t="s">
        <v>164</v>
      </c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 t="s">
        <v>164</v>
      </c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 t="s">
        <v>164</v>
      </c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 t="s">
        <v>164</v>
      </c>
      <c r="BP1" s="495"/>
      <c r="BQ1" s="495"/>
      <c r="BR1" s="495"/>
      <c r="BS1" s="495"/>
      <c r="BT1" s="495"/>
      <c r="BU1" s="495"/>
      <c r="BV1" s="495"/>
      <c r="BW1" s="495"/>
      <c r="BX1" s="495"/>
      <c r="BY1" s="495"/>
      <c r="BZ1" s="495" t="s">
        <v>164</v>
      </c>
      <c r="CA1" s="495"/>
      <c r="CB1" s="495"/>
      <c r="CC1" s="495"/>
      <c r="CD1" s="495"/>
      <c r="CE1" s="495"/>
      <c r="CF1" s="495"/>
      <c r="CG1" s="495"/>
      <c r="CH1" s="495"/>
      <c r="CI1" s="495"/>
      <c r="CJ1" s="495"/>
      <c r="CK1" s="495" t="s">
        <v>164</v>
      </c>
      <c r="CL1" s="495"/>
      <c r="CM1" s="495"/>
      <c r="CN1" s="495"/>
      <c r="CO1" s="495"/>
      <c r="CP1" s="495"/>
      <c r="CQ1" s="495"/>
      <c r="CR1" s="495"/>
      <c r="CS1" s="495"/>
      <c r="CT1" s="495"/>
      <c r="CU1" s="495"/>
      <c r="CV1" s="495" t="s">
        <v>164</v>
      </c>
      <c r="CW1" s="495"/>
      <c r="CX1" s="495"/>
      <c r="CY1" s="495"/>
      <c r="CZ1" s="495"/>
      <c r="DA1" s="495"/>
      <c r="DB1" s="495"/>
      <c r="DC1" s="495"/>
      <c r="DD1" s="495"/>
      <c r="DE1" s="495"/>
      <c r="DF1" s="495"/>
      <c r="DG1" s="495" t="s">
        <v>164</v>
      </c>
      <c r="DH1" s="495"/>
      <c r="DI1" s="495"/>
      <c r="DJ1" s="495"/>
      <c r="DK1" s="495"/>
      <c r="DL1" s="495"/>
      <c r="DM1" s="495"/>
      <c r="DN1" s="495"/>
      <c r="DO1" s="495"/>
      <c r="DP1" s="495"/>
      <c r="DQ1" s="495"/>
      <c r="DR1" s="495" t="s">
        <v>164</v>
      </c>
      <c r="DS1" s="495"/>
      <c r="DT1" s="495"/>
      <c r="DU1" s="495"/>
      <c r="DV1" s="495"/>
      <c r="DW1" s="495"/>
      <c r="DX1" s="495"/>
      <c r="DY1" s="495"/>
      <c r="DZ1" s="495"/>
      <c r="EA1" s="495"/>
      <c r="EB1" s="495"/>
      <c r="EC1" s="495" t="s">
        <v>164</v>
      </c>
      <c r="ED1" s="495"/>
      <c r="EE1" s="495"/>
      <c r="EF1" s="495"/>
      <c r="EG1" s="495"/>
      <c r="EH1" s="495"/>
      <c r="EI1" s="495"/>
      <c r="EJ1" s="495"/>
      <c r="EK1" s="495"/>
      <c r="EL1" s="495"/>
      <c r="EM1" s="495"/>
    </row>
    <row r="2" spans="1:143" ht="12.75">
      <c r="A2" s="495" t="s">
        <v>181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 t="s">
        <v>215</v>
      </c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 t="s">
        <v>157</v>
      </c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 t="s">
        <v>233</v>
      </c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 t="s">
        <v>235</v>
      </c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 t="s">
        <v>240</v>
      </c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 t="s">
        <v>246</v>
      </c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 t="s">
        <v>245</v>
      </c>
      <c r="CA2" s="495"/>
      <c r="CB2" s="495"/>
      <c r="CC2" s="495"/>
      <c r="CD2" s="495"/>
      <c r="CE2" s="495"/>
      <c r="CF2" s="495"/>
      <c r="CG2" s="495"/>
      <c r="CH2" s="495"/>
      <c r="CI2" s="495"/>
      <c r="CJ2" s="495"/>
      <c r="CK2" s="495" t="s">
        <v>261</v>
      </c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 t="s">
        <v>262</v>
      </c>
      <c r="CW2" s="495"/>
      <c r="CX2" s="495"/>
      <c r="CY2" s="495"/>
      <c r="CZ2" s="495"/>
      <c r="DA2" s="495"/>
      <c r="DB2" s="495"/>
      <c r="DC2" s="495"/>
      <c r="DD2" s="495"/>
      <c r="DE2" s="495"/>
      <c r="DF2" s="495"/>
      <c r="DG2" s="495" t="s">
        <v>266</v>
      </c>
      <c r="DH2" s="495"/>
      <c r="DI2" s="495"/>
      <c r="DJ2" s="495"/>
      <c r="DK2" s="495"/>
      <c r="DL2" s="495"/>
      <c r="DM2" s="495"/>
      <c r="DN2" s="495"/>
      <c r="DO2" s="495"/>
      <c r="DP2" s="495"/>
      <c r="DQ2" s="495"/>
      <c r="DR2" s="495" t="s">
        <v>158</v>
      </c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 t="s">
        <v>195</v>
      </c>
      <c r="ED2" s="495"/>
      <c r="EE2" s="495"/>
      <c r="EF2" s="495"/>
      <c r="EG2" s="495"/>
      <c r="EH2" s="495"/>
      <c r="EI2" s="495"/>
      <c r="EJ2" s="495"/>
      <c r="EK2" s="495"/>
      <c r="EL2" s="495"/>
      <c r="EM2" s="495"/>
    </row>
    <row r="3" spans="1:143" ht="12.75">
      <c r="A3" s="496" t="s">
        <v>182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 t="s">
        <v>182</v>
      </c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 t="s">
        <v>128</v>
      </c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 t="s">
        <v>182</v>
      </c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 t="s">
        <v>182</v>
      </c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 t="s">
        <v>182</v>
      </c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 t="s">
        <v>182</v>
      </c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 t="s">
        <v>182</v>
      </c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 t="s">
        <v>182</v>
      </c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 t="s">
        <v>182</v>
      </c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 t="s">
        <v>182</v>
      </c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 t="s">
        <v>128</v>
      </c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 t="s">
        <v>182</v>
      </c>
      <c r="ED3" s="496"/>
      <c r="EE3" s="496"/>
      <c r="EF3" s="496"/>
      <c r="EG3" s="496"/>
      <c r="EH3" s="496"/>
      <c r="EI3" s="496"/>
      <c r="EJ3" s="496"/>
      <c r="EK3" s="496"/>
      <c r="EL3" s="496"/>
      <c r="EM3" s="496"/>
    </row>
    <row r="5" spans="1:138" ht="12.75">
      <c r="A5" s="70" t="s">
        <v>165</v>
      </c>
      <c r="F5" s="70" t="s">
        <v>167</v>
      </c>
      <c r="L5" s="70" t="s">
        <v>165</v>
      </c>
      <c r="Q5" s="70" t="s">
        <v>167</v>
      </c>
      <c r="W5" s="70" t="s">
        <v>165</v>
      </c>
      <c r="AB5" s="70" t="s">
        <v>167</v>
      </c>
      <c r="AH5" s="70" t="s">
        <v>165</v>
      </c>
      <c r="AM5" s="70" t="s">
        <v>167</v>
      </c>
      <c r="AS5" s="70" t="s">
        <v>165</v>
      </c>
      <c r="AX5" s="70" t="s">
        <v>167</v>
      </c>
      <c r="BD5" s="70" t="s">
        <v>165</v>
      </c>
      <c r="BI5" s="70" t="s">
        <v>167</v>
      </c>
      <c r="BO5" s="70" t="s">
        <v>165</v>
      </c>
      <c r="BT5" s="70" t="s">
        <v>167</v>
      </c>
      <c r="BZ5" s="70" t="s">
        <v>165</v>
      </c>
      <c r="CE5" s="70" t="s">
        <v>167</v>
      </c>
      <c r="CK5" s="70" t="s">
        <v>165</v>
      </c>
      <c r="CP5" s="70" t="s">
        <v>167</v>
      </c>
      <c r="CV5" s="70" t="s">
        <v>165</v>
      </c>
      <c r="DA5" s="70" t="s">
        <v>167</v>
      </c>
      <c r="DG5" s="70" t="s">
        <v>165</v>
      </c>
      <c r="DL5" s="70" t="s">
        <v>167</v>
      </c>
      <c r="DR5" s="70" t="s">
        <v>165</v>
      </c>
      <c r="DW5" s="70" t="s">
        <v>167</v>
      </c>
      <c r="EC5" s="70" t="s">
        <v>165</v>
      </c>
      <c r="EH5" s="70" t="s">
        <v>167</v>
      </c>
    </row>
    <row r="6" spans="1:138" ht="12.75">
      <c r="A6" s="70" t="s">
        <v>166</v>
      </c>
      <c r="F6" s="70" t="s">
        <v>168</v>
      </c>
      <c r="L6" s="70" t="s">
        <v>166</v>
      </c>
      <c r="Q6" s="70" t="s">
        <v>168</v>
      </c>
      <c r="W6" s="70" t="s">
        <v>166</v>
      </c>
      <c r="AB6" s="70" t="s">
        <v>168</v>
      </c>
      <c r="AH6" s="70" t="s">
        <v>166</v>
      </c>
      <c r="AM6" s="70" t="s">
        <v>168</v>
      </c>
      <c r="AS6" s="70" t="s">
        <v>166</v>
      </c>
      <c r="AX6" s="70" t="s">
        <v>168</v>
      </c>
      <c r="BD6" s="70" t="s">
        <v>166</v>
      </c>
      <c r="BI6" s="70" t="s">
        <v>168</v>
      </c>
      <c r="BO6" s="70" t="s">
        <v>166</v>
      </c>
      <c r="BT6" s="70" t="s">
        <v>168</v>
      </c>
      <c r="BZ6" s="70" t="s">
        <v>166</v>
      </c>
      <c r="CE6" s="70" t="s">
        <v>168</v>
      </c>
      <c r="CK6" s="70" t="s">
        <v>166</v>
      </c>
      <c r="CP6" s="70" t="s">
        <v>168</v>
      </c>
      <c r="CV6" s="70" t="s">
        <v>166</v>
      </c>
      <c r="DA6" s="70" t="s">
        <v>168</v>
      </c>
      <c r="DG6" s="70" t="s">
        <v>166</v>
      </c>
      <c r="DL6" s="70" t="s">
        <v>168</v>
      </c>
      <c r="DR6" s="70" t="s">
        <v>166</v>
      </c>
      <c r="DW6" s="70" t="s">
        <v>168</v>
      </c>
      <c r="EC6" s="70" t="s">
        <v>166</v>
      </c>
      <c r="EH6" s="70" t="s">
        <v>168</v>
      </c>
    </row>
    <row r="8" spans="1:143" ht="12.75">
      <c r="A8" s="495" t="s">
        <v>169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 t="s">
        <v>169</v>
      </c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 t="s">
        <v>169</v>
      </c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 t="s">
        <v>169</v>
      </c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 t="s">
        <v>169</v>
      </c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 t="s">
        <v>169</v>
      </c>
      <c r="BE8" s="495"/>
      <c r="BF8" s="495"/>
      <c r="BG8" s="495"/>
      <c r="BH8" s="495"/>
      <c r="BI8" s="495"/>
      <c r="BJ8" s="495"/>
      <c r="BK8" s="495"/>
      <c r="BL8" s="495"/>
      <c r="BM8" s="495"/>
      <c r="BN8" s="495"/>
      <c r="BO8" s="495" t="s">
        <v>169</v>
      </c>
      <c r="BP8" s="495"/>
      <c r="BQ8" s="495"/>
      <c r="BR8" s="495"/>
      <c r="BS8" s="495"/>
      <c r="BT8" s="495"/>
      <c r="BU8" s="495"/>
      <c r="BV8" s="495"/>
      <c r="BW8" s="495"/>
      <c r="BX8" s="495"/>
      <c r="BY8" s="495"/>
      <c r="BZ8" s="495" t="s">
        <v>169</v>
      </c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 t="s">
        <v>169</v>
      </c>
      <c r="CL8" s="495"/>
      <c r="CM8" s="495"/>
      <c r="CN8" s="495"/>
      <c r="CO8" s="495"/>
      <c r="CP8" s="495"/>
      <c r="CQ8" s="495"/>
      <c r="CR8" s="495"/>
      <c r="CS8" s="495"/>
      <c r="CT8" s="495"/>
      <c r="CU8" s="495"/>
      <c r="CV8" s="495" t="s">
        <v>169</v>
      </c>
      <c r="CW8" s="495"/>
      <c r="CX8" s="495"/>
      <c r="CY8" s="495"/>
      <c r="CZ8" s="495"/>
      <c r="DA8" s="495"/>
      <c r="DB8" s="495"/>
      <c r="DC8" s="495"/>
      <c r="DD8" s="495"/>
      <c r="DE8" s="495"/>
      <c r="DF8" s="495"/>
      <c r="DG8" s="495" t="s">
        <v>169</v>
      </c>
      <c r="DH8" s="495"/>
      <c r="DI8" s="495"/>
      <c r="DJ8" s="495"/>
      <c r="DK8" s="495"/>
      <c r="DL8" s="495"/>
      <c r="DM8" s="495"/>
      <c r="DN8" s="495"/>
      <c r="DO8" s="495"/>
      <c r="DP8" s="495"/>
      <c r="DQ8" s="495"/>
      <c r="DR8" s="495" t="s">
        <v>169</v>
      </c>
      <c r="DS8" s="495"/>
      <c r="DT8" s="495"/>
      <c r="DU8" s="495"/>
      <c r="DV8" s="495"/>
      <c r="DW8" s="495"/>
      <c r="DX8" s="495"/>
      <c r="DY8" s="495"/>
      <c r="DZ8" s="495"/>
      <c r="EA8" s="495"/>
      <c r="EB8" s="495"/>
      <c r="EC8" s="495" t="s">
        <v>169</v>
      </c>
      <c r="ED8" s="495"/>
      <c r="EE8" s="495"/>
      <c r="EF8" s="495"/>
      <c r="EG8" s="495"/>
      <c r="EH8" s="495"/>
      <c r="EI8" s="495"/>
      <c r="EJ8" s="495"/>
      <c r="EK8" s="495"/>
      <c r="EL8" s="495"/>
      <c r="EM8" s="495"/>
    </row>
    <row r="9" ht="13.5" thickBot="1"/>
    <row r="10" spans="1:142" ht="13.5" thickBot="1">
      <c r="A10" s="70"/>
      <c r="C10" s="270" t="s">
        <v>197</v>
      </c>
      <c r="D10" s="500" t="s">
        <v>206</v>
      </c>
      <c r="E10" s="498"/>
      <c r="F10" s="499"/>
      <c r="G10" s="270" t="s">
        <v>2</v>
      </c>
      <c r="H10" s="500" t="s">
        <v>198</v>
      </c>
      <c r="I10" s="498"/>
      <c r="J10" s="499"/>
      <c r="L10" s="70"/>
      <c r="N10" s="270" t="s">
        <v>197</v>
      </c>
      <c r="O10" s="497" t="s">
        <v>196</v>
      </c>
      <c r="P10" s="498"/>
      <c r="Q10" s="499"/>
      <c r="R10" s="270" t="s">
        <v>2</v>
      </c>
      <c r="S10" s="500" t="s">
        <v>198</v>
      </c>
      <c r="T10" s="498"/>
      <c r="U10" s="499"/>
      <c r="W10" s="70"/>
      <c r="Y10" s="270" t="s">
        <v>197</v>
      </c>
      <c r="Z10" s="497" t="s">
        <v>196</v>
      </c>
      <c r="AA10" s="498"/>
      <c r="AB10" s="499"/>
      <c r="AC10" s="270" t="s">
        <v>2</v>
      </c>
      <c r="AD10" s="500" t="s">
        <v>198</v>
      </c>
      <c r="AE10" s="498"/>
      <c r="AF10" s="499"/>
      <c r="AH10" s="70"/>
      <c r="AJ10" s="270" t="s">
        <v>132</v>
      </c>
      <c r="AK10" s="497" t="s">
        <v>230</v>
      </c>
      <c r="AL10" s="498"/>
      <c r="AM10" s="499"/>
      <c r="AN10" s="270" t="s">
        <v>2</v>
      </c>
      <c r="AO10" s="500" t="s">
        <v>234</v>
      </c>
      <c r="AP10" s="498"/>
      <c r="AQ10" s="499"/>
      <c r="AS10" s="70"/>
      <c r="AU10" s="375" t="s">
        <v>197</v>
      </c>
      <c r="AV10" s="497" t="s">
        <v>196</v>
      </c>
      <c r="AW10" s="498"/>
      <c r="AX10" s="499"/>
      <c r="AY10" s="270" t="s">
        <v>2</v>
      </c>
      <c r="AZ10" s="500" t="s">
        <v>198</v>
      </c>
      <c r="BA10" s="498"/>
      <c r="BB10" s="499"/>
      <c r="BD10" s="70"/>
      <c r="BF10" s="270" t="s">
        <v>197</v>
      </c>
      <c r="BG10" s="497" t="s">
        <v>196</v>
      </c>
      <c r="BH10" s="498"/>
      <c r="BI10" s="499"/>
      <c r="BJ10" s="270" t="s">
        <v>2</v>
      </c>
      <c r="BK10" s="500" t="s">
        <v>198</v>
      </c>
      <c r="BL10" s="498"/>
      <c r="BM10" s="499"/>
      <c r="BO10" s="70"/>
      <c r="BQ10" s="270" t="s">
        <v>197</v>
      </c>
      <c r="BR10" s="497" t="s">
        <v>230</v>
      </c>
      <c r="BS10" s="498"/>
      <c r="BT10" s="499"/>
      <c r="BU10" s="270" t="s">
        <v>2</v>
      </c>
      <c r="BV10" s="500" t="s">
        <v>234</v>
      </c>
      <c r="BW10" s="498"/>
      <c r="BX10" s="499"/>
      <c r="BZ10" s="70"/>
      <c r="CB10" s="270" t="s">
        <v>197</v>
      </c>
      <c r="CC10" s="497" t="s">
        <v>196</v>
      </c>
      <c r="CD10" s="498"/>
      <c r="CE10" s="499"/>
      <c r="CF10" s="270" t="s">
        <v>2</v>
      </c>
      <c r="CG10" s="500" t="s">
        <v>198</v>
      </c>
      <c r="CH10" s="498"/>
      <c r="CI10" s="499"/>
      <c r="CK10" s="70"/>
      <c r="CM10" s="270" t="s">
        <v>132</v>
      </c>
      <c r="CN10" s="497" t="s">
        <v>196</v>
      </c>
      <c r="CO10" s="498"/>
      <c r="CP10" s="499"/>
      <c r="CQ10" s="270" t="s">
        <v>2</v>
      </c>
      <c r="CR10" s="500" t="s">
        <v>198</v>
      </c>
      <c r="CS10" s="498"/>
      <c r="CT10" s="499"/>
      <c r="CV10" s="70"/>
      <c r="CX10" s="375" t="s">
        <v>197</v>
      </c>
      <c r="CY10" s="497" t="s">
        <v>196</v>
      </c>
      <c r="CZ10" s="498"/>
      <c r="DA10" s="499"/>
      <c r="DB10" s="270" t="s">
        <v>2</v>
      </c>
      <c r="DC10" s="500" t="s">
        <v>198</v>
      </c>
      <c r="DD10" s="498"/>
      <c r="DE10" s="499"/>
      <c r="DG10" s="70"/>
      <c r="DI10" s="375" t="s">
        <v>197</v>
      </c>
      <c r="DJ10" s="497" t="s">
        <v>196</v>
      </c>
      <c r="DK10" s="498"/>
      <c r="DL10" s="499"/>
      <c r="DM10" s="270" t="s">
        <v>2</v>
      </c>
      <c r="DN10" s="500" t="s">
        <v>198</v>
      </c>
      <c r="DO10" s="498"/>
      <c r="DP10" s="499"/>
      <c r="DR10" s="70"/>
      <c r="DT10" s="270" t="s">
        <v>132</v>
      </c>
      <c r="DU10" s="497" t="s">
        <v>111</v>
      </c>
      <c r="DV10" s="498"/>
      <c r="DW10" s="499"/>
      <c r="DX10" s="270" t="s">
        <v>2</v>
      </c>
      <c r="DY10" s="500" t="s">
        <v>149</v>
      </c>
      <c r="DZ10" s="498"/>
      <c r="EA10" s="499"/>
      <c r="EC10" s="70"/>
      <c r="EE10" s="375" t="s">
        <v>197</v>
      </c>
      <c r="EF10" s="497" t="s">
        <v>196</v>
      </c>
      <c r="EG10" s="498"/>
      <c r="EH10" s="499"/>
      <c r="EI10" s="270" t="s">
        <v>2</v>
      </c>
      <c r="EJ10" s="500" t="s">
        <v>198</v>
      </c>
      <c r="EK10" s="498"/>
      <c r="EL10" s="499"/>
    </row>
    <row r="11" spans="3:142" ht="12.75">
      <c r="C11" s="273" t="s">
        <v>3</v>
      </c>
      <c r="D11" s="273" t="s">
        <v>3</v>
      </c>
      <c r="E11" s="273" t="s">
        <v>18</v>
      </c>
      <c r="F11" s="273" t="s">
        <v>10</v>
      </c>
      <c r="G11" s="300" t="s">
        <v>201</v>
      </c>
      <c r="H11" s="300" t="s">
        <v>67</v>
      </c>
      <c r="I11" s="273" t="s">
        <v>18</v>
      </c>
      <c r="J11" s="273" t="s">
        <v>10</v>
      </c>
      <c r="N11" s="273" t="s">
        <v>3</v>
      </c>
      <c r="O11" s="300"/>
      <c r="P11" s="273" t="s">
        <v>18</v>
      </c>
      <c r="Q11" s="273" t="s">
        <v>10</v>
      </c>
      <c r="R11" s="300" t="s">
        <v>201</v>
      </c>
      <c r="S11" s="284" t="s">
        <v>67</v>
      </c>
      <c r="T11" s="273" t="s">
        <v>18</v>
      </c>
      <c r="U11" s="273" t="s">
        <v>10</v>
      </c>
      <c r="Y11" s="273" t="s">
        <v>3</v>
      </c>
      <c r="Z11" s="273" t="s">
        <v>3</v>
      </c>
      <c r="AA11" s="273" t="s">
        <v>18</v>
      </c>
      <c r="AB11" s="273" t="s">
        <v>10</v>
      </c>
      <c r="AC11" s="300" t="s">
        <v>201</v>
      </c>
      <c r="AD11" s="300" t="s">
        <v>67</v>
      </c>
      <c r="AE11" s="273" t="s">
        <v>18</v>
      </c>
      <c r="AF11" s="273" t="s">
        <v>10</v>
      </c>
      <c r="AJ11" s="273" t="s">
        <v>3</v>
      </c>
      <c r="AK11" s="273" t="s">
        <v>3</v>
      </c>
      <c r="AL11" s="273" t="s">
        <v>18</v>
      </c>
      <c r="AM11" s="273" t="s">
        <v>10</v>
      </c>
      <c r="AN11" s="300" t="s">
        <v>201</v>
      </c>
      <c r="AO11" s="300" t="s">
        <v>67</v>
      </c>
      <c r="AP11" s="273" t="s">
        <v>18</v>
      </c>
      <c r="AQ11" s="273" t="s">
        <v>10</v>
      </c>
      <c r="AU11" s="273" t="s">
        <v>3</v>
      </c>
      <c r="AV11" s="273" t="s">
        <v>3</v>
      </c>
      <c r="AW11" s="273" t="s">
        <v>18</v>
      </c>
      <c r="AX11" s="273" t="s">
        <v>10</v>
      </c>
      <c r="AY11" s="300" t="s">
        <v>201</v>
      </c>
      <c r="AZ11" s="300" t="s">
        <v>67</v>
      </c>
      <c r="BA11" s="273" t="s">
        <v>18</v>
      </c>
      <c r="BB11" s="273" t="s">
        <v>10</v>
      </c>
      <c r="BF11" s="273" t="s">
        <v>3</v>
      </c>
      <c r="BG11" s="273" t="s">
        <v>3</v>
      </c>
      <c r="BH11" s="273" t="s">
        <v>18</v>
      </c>
      <c r="BI11" s="273" t="s">
        <v>10</v>
      </c>
      <c r="BJ11" s="300" t="s">
        <v>201</v>
      </c>
      <c r="BK11" s="300" t="s">
        <v>67</v>
      </c>
      <c r="BL11" s="273" t="s">
        <v>18</v>
      </c>
      <c r="BM11" s="273" t="s">
        <v>10</v>
      </c>
      <c r="BQ11" s="273" t="s">
        <v>3</v>
      </c>
      <c r="BR11" s="273" t="s">
        <v>3</v>
      </c>
      <c r="BS11" s="273" t="s">
        <v>18</v>
      </c>
      <c r="BT11" s="273" t="s">
        <v>10</v>
      </c>
      <c r="BU11" s="300" t="s">
        <v>201</v>
      </c>
      <c r="BV11" s="300" t="s">
        <v>67</v>
      </c>
      <c r="BW11" s="273" t="s">
        <v>18</v>
      </c>
      <c r="BX11" s="273" t="s">
        <v>10</v>
      </c>
      <c r="CB11" s="273" t="s">
        <v>3</v>
      </c>
      <c r="CC11" s="273" t="s">
        <v>3</v>
      </c>
      <c r="CD11" s="273" t="s">
        <v>18</v>
      </c>
      <c r="CE11" s="273" t="s">
        <v>10</v>
      </c>
      <c r="CF11" s="300" t="s">
        <v>201</v>
      </c>
      <c r="CG11" s="300" t="s">
        <v>67</v>
      </c>
      <c r="CH11" s="273" t="s">
        <v>18</v>
      </c>
      <c r="CI11" s="273" t="s">
        <v>10</v>
      </c>
      <c r="CM11" s="273" t="s">
        <v>3</v>
      </c>
      <c r="CN11" s="273" t="s">
        <v>3</v>
      </c>
      <c r="CO11" s="273" t="s">
        <v>18</v>
      </c>
      <c r="CP11" s="273" t="s">
        <v>10</v>
      </c>
      <c r="CQ11" s="300" t="s">
        <v>201</v>
      </c>
      <c r="CR11" s="300" t="s">
        <v>67</v>
      </c>
      <c r="CS11" s="273" t="s">
        <v>18</v>
      </c>
      <c r="CT11" s="273" t="s">
        <v>10</v>
      </c>
      <c r="CX11" s="273" t="s">
        <v>3</v>
      </c>
      <c r="CY11" s="273" t="s">
        <v>3</v>
      </c>
      <c r="CZ11" s="273" t="s">
        <v>18</v>
      </c>
      <c r="DA11" s="273" t="s">
        <v>10</v>
      </c>
      <c r="DB11" s="300" t="s">
        <v>201</v>
      </c>
      <c r="DC11" s="300" t="s">
        <v>67</v>
      </c>
      <c r="DD11" s="273" t="s">
        <v>18</v>
      </c>
      <c r="DE11" s="273" t="s">
        <v>10</v>
      </c>
      <c r="DI11" s="273" t="s">
        <v>3</v>
      </c>
      <c r="DJ11" s="273" t="s">
        <v>3</v>
      </c>
      <c r="DK11" s="273" t="s">
        <v>18</v>
      </c>
      <c r="DL11" s="273" t="s">
        <v>10</v>
      </c>
      <c r="DM11" s="300" t="s">
        <v>201</v>
      </c>
      <c r="DN11" s="300" t="s">
        <v>67</v>
      </c>
      <c r="DO11" s="273" t="s">
        <v>18</v>
      </c>
      <c r="DP11" s="273" t="s">
        <v>10</v>
      </c>
      <c r="DT11" s="273" t="s">
        <v>3</v>
      </c>
      <c r="DU11" s="273" t="s">
        <v>3</v>
      </c>
      <c r="DV11" s="273" t="s">
        <v>18</v>
      </c>
      <c r="DW11" s="273" t="s">
        <v>10</v>
      </c>
      <c r="DX11" s="300" t="s">
        <v>67</v>
      </c>
      <c r="DY11" s="273" t="s">
        <v>5</v>
      </c>
      <c r="DZ11" s="273" t="s">
        <v>18</v>
      </c>
      <c r="EA11" s="273" t="s">
        <v>10</v>
      </c>
      <c r="EE11" s="273" t="s">
        <v>3</v>
      </c>
      <c r="EF11" s="273" t="s">
        <v>3</v>
      </c>
      <c r="EG11" s="273" t="s">
        <v>18</v>
      </c>
      <c r="EH11" s="273" t="s">
        <v>10</v>
      </c>
      <c r="EI11" s="300" t="s">
        <v>201</v>
      </c>
      <c r="EJ11" s="300" t="s">
        <v>67</v>
      </c>
      <c r="EK11" s="273" t="s">
        <v>18</v>
      </c>
      <c r="EL11" s="273" t="s">
        <v>10</v>
      </c>
    </row>
    <row r="12" spans="3:142" ht="13.5" thickBot="1">
      <c r="C12" s="237" t="s">
        <v>110</v>
      </c>
      <c r="D12" s="299" t="s">
        <v>67</v>
      </c>
      <c r="E12" s="276"/>
      <c r="F12" s="276"/>
      <c r="G12" s="299"/>
      <c r="H12" s="276"/>
      <c r="I12" s="291"/>
      <c r="J12" s="282"/>
      <c r="N12" s="237" t="s">
        <v>113</v>
      </c>
      <c r="O12" s="299" t="s">
        <v>67</v>
      </c>
      <c r="P12" s="276"/>
      <c r="Q12" s="276"/>
      <c r="R12" s="299"/>
      <c r="S12" s="276"/>
      <c r="T12" s="291"/>
      <c r="U12" s="282"/>
      <c r="Y12" s="237" t="s">
        <v>114</v>
      </c>
      <c r="Z12" s="427" t="s">
        <v>67</v>
      </c>
      <c r="AA12" s="276"/>
      <c r="AB12" s="276"/>
      <c r="AC12" s="299"/>
      <c r="AD12" s="276"/>
      <c r="AE12" s="291"/>
      <c r="AF12" s="282"/>
      <c r="AJ12" s="237" t="s">
        <v>115</v>
      </c>
      <c r="AK12" s="276" t="s">
        <v>5</v>
      </c>
      <c r="AL12" s="276"/>
      <c r="AM12" s="276"/>
      <c r="AN12" s="299"/>
      <c r="AO12" s="276"/>
      <c r="AP12" s="291"/>
      <c r="AQ12" s="282"/>
      <c r="AU12" s="237" t="s">
        <v>116</v>
      </c>
      <c r="AV12" s="299" t="s">
        <v>67</v>
      </c>
      <c r="AW12" s="276"/>
      <c r="AX12" s="276"/>
      <c r="AY12" s="299"/>
      <c r="AZ12" s="276"/>
      <c r="BA12" s="291"/>
      <c r="BB12" s="282"/>
      <c r="BF12" s="237" t="s">
        <v>117</v>
      </c>
      <c r="BG12" s="299" t="s">
        <v>67</v>
      </c>
      <c r="BH12" s="276"/>
      <c r="BI12" s="276"/>
      <c r="BJ12" s="299"/>
      <c r="BK12" s="276"/>
      <c r="BL12" s="291"/>
      <c r="BM12" s="282"/>
      <c r="BQ12" s="237" t="s">
        <v>118</v>
      </c>
      <c r="BR12" s="299" t="s">
        <v>67</v>
      </c>
      <c r="BS12" s="276"/>
      <c r="BT12" s="276"/>
      <c r="BU12" s="299"/>
      <c r="BV12" s="276"/>
      <c r="BW12" s="291"/>
      <c r="BX12" s="282"/>
      <c r="CB12" s="237" t="s">
        <v>119</v>
      </c>
      <c r="CC12" s="299" t="s">
        <v>67</v>
      </c>
      <c r="CD12" s="276"/>
      <c r="CE12" s="276"/>
      <c r="CF12" s="299"/>
      <c r="CG12" s="276"/>
      <c r="CH12" s="291"/>
      <c r="CI12" s="282"/>
      <c r="CM12" s="237" t="s">
        <v>120</v>
      </c>
      <c r="CN12" s="299" t="s">
        <v>67</v>
      </c>
      <c r="CO12" s="276"/>
      <c r="CP12" s="276"/>
      <c r="CQ12" s="299"/>
      <c r="CR12" s="276"/>
      <c r="CS12" s="291"/>
      <c r="CT12" s="282"/>
      <c r="CX12" s="237" t="s">
        <v>121</v>
      </c>
      <c r="CY12" s="299" t="s">
        <v>67</v>
      </c>
      <c r="CZ12" s="276"/>
      <c r="DA12" s="276"/>
      <c r="DB12" s="299"/>
      <c r="DC12" s="276"/>
      <c r="DD12" s="291"/>
      <c r="DE12" s="282"/>
      <c r="DI12" s="237" t="s">
        <v>123</v>
      </c>
      <c r="DJ12" s="299" t="s">
        <v>67</v>
      </c>
      <c r="DK12" s="276"/>
      <c r="DL12" s="276"/>
      <c r="DM12" s="299"/>
      <c r="DN12" s="276"/>
      <c r="DO12" s="291"/>
      <c r="DP12" s="282"/>
      <c r="DT12" s="237" t="s">
        <v>123</v>
      </c>
      <c r="DU12" s="276" t="s">
        <v>5</v>
      </c>
      <c r="DV12" s="276"/>
      <c r="DW12" s="276"/>
      <c r="DX12" s="299"/>
      <c r="DY12" s="276"/>
      <c r="DZ12" s="291"/>
      <c r="EA12" s="282"/>
      <c r="EE12" s="237" t="s">
        <v>1</v>
      </c>
      <c r="EF12" s="276" t="s">
        <v>5</v>
      </c>
      <c r="EG12" s="276"/>
      <c r="EH12" s="276"/>
      <c r="EI12" s="299"/>
      <c r="EJ12" s="276"/>
      <c r="EK12" s="291"/>
      <c r="EL12" s="282"/>
    </row>
    <row r="13" spans="1:142" ht="13.5" thickBot="1">
      <c r="A13" s="281" t="s">
        <v>163</v>
      </c>
      <c r="B13" s="298">
        <v>2900</v>
      </c>
      <c r="C13" s="72">
        <v>61502.02</v>
      </c>
      <c r="D13" s="72">
        <v>50925</v>
      </c>
      <c r="E13" s="72">
        <f>D13-C13</f>
        <v>-10577.019999999997</v>
      </c>
      <c r="F13" s="73">
        <f>E13/D13</f>
        <v>-0.2076979872361315</v>
      </c>
      <c r="G13" s="72">
        <f>SUM(C13)</f>
        <v>61502.02</v>
      </c>
      <c r="H13" s="72">
        <f>SUM(D13)</f>
        <v>50925</v>
      </c>
      <c r="I13" s="87">
        <f>H13-G13</f>
        <v>-10577.019999999997</v>
      </c>
      <c r="J13" s="73">
        <f>I13/H13</f>
        <v>-0.2076979872361315</v>
      </c>
      <c r="L13" s="281" t="s">
        <v>163</v>
      </c>
      <c r="M13" s="298">
        <v>2900</v>
      </c>
      <c r="N13" s="72">
        <v>46239</v>
      </c>
      <c r="O13" s="72">
        <v>37024</v>
      </c>
      <c r="P13" s="72">
        <f>O13-N13</f>
        <v>-9215</v>
      </c>
      <c r="Q13" s="73">
        <f>P13/O13</f>
        <v>-0.24889261019878997</v>
      </c>
      <c r="R13" s="72">
        <f>SUM(G13+N13)</f>
        <v>107741.01999999999</v>
      </c>
      <c r="S13" s="72">
        <f>SUM(H13+O13)</f>
        <v>87949</v>
      </c>
      <c r="T13" s="87">
        <f>S13-R13</f>
        <v>-19792.01999999999</v>
      </c>
      <c r="U13" s="73">
        <f>T13/S13</f>
        <v>-0.2250397389396126</v>
      </c>
      <c r="W13" s="281" t="s">
        <v>163</v>
      </c>
      <c r="X13" s="298">
        <v>2900</v>
      </c>
      <c r="Y13" s="72">
        <v>40818.41</v>
      </c>
      <c r="Z13" s="72">
        <v>37373</v>
      </c>
      <c r="AA13" s="72">
        <f>Z13-Y13</f>
        <v>-3445.4100000000035</v>
      </c>
      <c r="AB13" s="73">
        <f>AA13/Z13</f>
        <v>-0.0921898161774544</v>
      </c>
      <c r="AC13" s="72">
        <f>SUM(R13+Y13)</f>
        <v>148559.43</v>
      </c>
      <c r="AD13" s="72">
        <f>SUM(S13+Z13)</f>
        <v>125322</v>
      </c>
      <c r="AE13" s="87">
        <f>AD13-AC13</f>
        <v>-23237.429999999993</v>
      </c>
      <c r="AF13" s="73">
        <f>AE13/AD13</f>
        <v>-0.18542179346004686</v>
      </c>
      <c r="AH13" s="281" t="s">
        <v>163</v>
      </c>
      <c r="AI13" s="298">
        <v>2900</v>
      </c>
      <c r="AJ13" s="72">
        <v>29723.62</v>
      </c>
      <c r="AK13" s="72">
        <v>30116</v>
      </c>
      <c r="AL13" s="72">
        <f>AK13-AJ13</f>
        <v>392.380000000001</v>
      </c>
      <c r="AM13" s="73">
        <f>AL13/AK13</f>
        <v>0.013028954708460654</v>
      </c>
      <c r="AN13" s="72">
        <f>SUM(AC13+AJ13)</f>
        <v>178283.05</v>
      </c>
      <c r="AO13" s="72">
        <f>SUM(AD13+AK13)</f>
        <v>155438</v>
      </c>
      <c r="AP13" s="87">
        <f>AO13-AN13</f>
        <v>-22845.04999999999</v>
      </c>
      <c r="AQ13" s="73">
        <f>AP13/AO13</f>
        <v>-0.14697210463335855</v>
      </c>
      <c r="AS13" s="281" t="s">
        <v>163</v>
      </c>
      <c r="AT13" s="298">
        <v>2900</v>
      </c>
      <c r="AU13" s="72">
        <v>34206.93</v>
      </c>
      <c r="AV13" s="72">
        <v>28865</v>
      </c>
      <c r="AW13" s="72">
        <f>AV13-AU13</f>
        <v>-5341.93</v>
      </c>
      <c r="AX13" s="73">
        <f>AW13/AV13</f>
        <v>-0.1850659968820371</v>
      </c>
      <c r="AY13" s="72">
        <f>SUM(AN13+AU13)</f>
        <v>212489.97999999998</v>
      </c>
      <c r="AZ13" s="72">
        <f>SUM(AO13+AV13)</f>
        <v>184303</v>
      </c>
      <c r="BA13" s="87">
        <f>AZ13-AY13</f>
        <v>-28186.97999999998</v>
      </c>
      <c r="BB13" s="73">
        <f>BA13/AZ13</f>
        <v>-0.15293825927955584</v>
      </c>
      <c r="BD13" s="281" t="s">
        <v>163</v>
      </c>
      <c r="BE13" s="298">
        <v>2900</v>
      </c>
      <c r="BF13" s="72">
        <v>50680.1</v>
      </c>
      <c r="BG13" s="72">
        <v>39851</v>
      </c>
      <c r="BH13" s="72">
        <f>BG13-BF13</f>
        <v>-10829.099999999999</v>
      </c>
      <c r="BI13" s="73">
        <f>BH13/BG13</f>
        <v>-0.27173973049609795</v>
      </c>
      <c r="BJ13" s="72">
        <f>SUM(AY13+BF13)</f>
        <v>263170.07999999996</v>
      </c>
      <c r="BK13" s="72">
        <f>SUM(AZ13+BG13)</f>
        <v>224154</v>
      </c>
      <c r="BL13" s="87">
        <f>BK13-BJ13</f>
        <v>-39016.07999999996</v>
      </c>
      <c r="BM13" s="73">
        <f>BL13/BK13</f>
        <v>-0.17405926282823397</v>
      </c>
      <c r="BO13" s="281" t="s">
        <v>163</v>
      </c>
      <c r="BP13" s="298">
        <v>2900</v>
      </c>
      <c r="BQ13" s="72">
        <v>44747.34</v>
      </c>
      <c r="BR13" s="72">
        <v>57721.16</v>
      </c>
      <c r="BS13" s="72">
        <f>BR13-BQ13</f>
        <v>12973.820000000007</v>
      </c>
      <c r="BT13" s="73">
        <f>BS13/BR13</f>
        <v>0.2247671391219443</v>
      </c>
      <c r="BU13" s="72">
        <f>SUM(BJ13+BQ13)</f>
        <v>307917.4199999999</v>
      </c>
      <c r="BV13" s="72">
        <f>SUM(BK13+BR13)</f>
        <v>281875.16000000003</v>
      </c>
      <c r="BW13" s="87">
        <f>BV13-BU13</f>
        <v>-26042.259999999893</v>
      </c>
      <c r="BX13" s="73">
        <f>BW13/BV13</f>
        <v>-0.09238934001846735</v>
      </c>
      <c r="BZ13" s="281" t="s">
        <v>163</v>
      </c>
      <c r="CA13" s="298">
        <v>2900</v>
      </c>
      <c r="CB13" s="72">
        <v>46243.73</v>
      </c>
      <c r="CC13" s="72">
        <v>38635.42</v>
      </c>
      <c r="CD13" s="72">
        <f>CC13-CB13</f>
        <v>-7608.310000000005</v>
      </c>
      <c r="CE13" s="73">
        <f>CD13/CC13</f>
        <v>-0.19692577432832373</v>
      </c>
      <c r="CF13" s="72">
        <f>SUM(BU13+CB13)</f>
        <v>354161.1499999999</v>
      </c>
      <c r="CG13" s="72">
        <f>SUM(BV13+CC13)</f>
        <v>320510.58</v>
      </c>
      <c r="CH13" s="87">
        <f>CG13-CF13</f>
        <v>-33650.56999999989</v>
      </c>
      <c r="CI13" s="73">
        <f>CH13/CG13</f>
        <v>-0.10499051232567702</v>
      </c>
      <c r="CK13" s="281" t="s">
        <v>163</v>
      </c>
      <c r="CL13" s="298">
        <v>2900</v>
      </c>
      <c r="CM13" s="87">
        <v>51048.82</v>
      </c>
      <c r="CN13" s="72">
        <v>60095</v>
      </c>
      <c r="CO13" s="72">
        <f>CN13-CM13</f>
        <v>9046.18</v>
      </c>
      <c r="CP13" s="73">
        <f>CO13/CN13</f>
        <v>0.1505313254014477</v>
      </c>
      <c r="CQ13" s="72">
        <f>SUM(CF13+CM13)</f>
        <v>405209.9699999999</v>
      </c>
      <c r="CR13" s="72">
        <f>SUM(CG13+CN13)</f>
        <v>380605.58</v>
      </c>
      <c r="CS13" s="87">
        <f>CR13-CQ13</f>
        <v>-24604.389999999898</v>
      </c>
      <c r="CT13" s="73">
        <f>CS13/CR13</f>
        <v>-0.06464537382767718</v>
      </c>
      <c r="CV13" s="281" t="s">
        <v>163</v>
      </c>
      <c r="CW13" s="298">
        <v>2900</v>
      </c>
      <c r="CX13" s="72">
        <v>46125.56</v>
      </c>
      <c r="CY13" s="72">
        <v>41480.96</v>
      </c>
      <c r="CZ13" s="72">
        <f>CY13-CX13</f>
        <v>-4644.5999999999985</v>
      </c>
      <c r="DA13" s="73">
        <f>CZ13/CY13</f>
        <v>-0.11196944333014469</v>
      </c>
      <c r="DB13" s="72">
        <f>SUM(CQ13+CX13)</f>
        <v>451335.5299999999</v>
      </c>
      <c r="DC13" s="72">
        <f>SUM(CR13+CY13)</f>
        <v>422086.54000000004</v>
      </c>
      <c r="DD13" s="87">
        <f>DC13-DB13</f>
        <v>-29248.989999999874</v>
      </c>
      <c r="DE13" s="73">
        <f>DD13/DC13</f>
        <v>-0.06929619219793143</v>
      </c>
      <c r="DG13" s="281" t="s">
        <v>163</v>
      </c>
      <c r="DH13" s="298">
        <v>2900</v>
      </c>
      <c r="DI13" s="72">
        <v>56064.37</v>
      </c>
      <c r="DJ13" s="72">
        <v>56064</v>
      </c>
      <c r="DK13" s="72">
        <f>DJ13-DI13</f>
        <v>-0.37000000000261934</v>
      </c>
      <c r="DL13" s="73">
        <f>DK13/DJ13</f>
        <v>-6.599600456667725E-06</v>
      </c>
      <c r="DM13" s="72">
        <f>SUM(DB13+DI13)</f>
        <v>507399.8999999999</v>
      </c>
      <c r="DN13" s="72">
        <f>SUM(DC13+DJ13)</f>
        <v>478150.54000000004</v>
      </c>
      <c r="DO13" s="87">
        <f>DN13-DM13</f>
        <v>-29249.35999999987</v>
      </c>
      <c r="DP13" s="73">
        <f>DO13/DN13</f>
        <v>-0.06117186440906219</v>
      </c>
      <c r="DR13" s="281" t="s">
        <v>163</v>
      </c>
      <c r="DS13" s="298">
        <v>2900</v>
      </c>
      <c r="DT13" s="72">
        <v>42162.9</v>
      </c>
      <c r="DU13" s="72">
        <v>43756</v>
      </c>
      <c r="DV13" s="72">
        <f>DU13-DT13</f>
        <v>1593.0999999999985</v>
      </c>
      <c r="DW13" s="73">
        <f>DV13/DU13</f>
        <v>0.036408721089679096</v>
      </c>
      <c r="DX13" s="72">
        <f>SUM(DM13+DT13)</f>
        <v>549562.7999999999</v>
      </c>
      <c r="DY13" s="72">
        <f>SUM(DN13+DU13)</f>
        <v>521906.54000000004</v>
      </c>
      <c r="DZ13" s="87">
        <f>DY13-DX13</f>
        <v>-27656.259999999893</v>
      </c>
      <c r="EA13" s="73">
        <f>DZ13/DY13</f>
        <v>-0.052990828587815536</v>
      </c>
      <c r="EC13" s="281" t="s">
        <v>163</v>
      </c>
      <c r="ED13" s="298">
        <v>2900</v>
      </c>
      <c r="EE13" s="72">
        <v>46061.96</v>
      </c>
      <c r="EF13" s="72">
        <v>43833.13</v>
      </c>
      <c r="EG13" s="72">
        <f>EF13-EE13</f>
        <v>-2228.8300000000017</v>
      </c>
      <c r="EH13" s="73">
        <f>EG13/EF13</f>
        <v>-0.05084806857278962</v>
      </c>
      <c r="EI13" s="72">
        <f>SUM(DX13+EE13)</f>
        <v>595624.7599999999</v>
      </c>
      <c r="EJ13" s="72">
        <f>SUM(DY13+EF13)</f>
        <v>565739.67</v>
      </c>
      <c r="EK13" s="87">
        <f>EJ13-EI13</f>
        <v>-29885.08999999985</v>
      </c>
      <c r="EL13" s="73">
        <f>EK13/EJ13</f>
        <v>-0.052824808979720035</v>
      </c>
    </row>
    <row r="14" spans="5:140" ht="13.5" thickBot="1">
      <c r="E14" s="302"/>
      <c r="G14" s="302"/>
      <c r="H14" s="302"/>
      <c r="P14" s="302"/>
      <c r="R14" s="302"/>
      <c r="S14" s="302"/>
      <c r="AC14" s="302"/>
      <c r="AD14" s="302"/>
      <c r="AN14" s="302"/>
      <c r="AO14" s="302"/>
      <c r="AY14" s="302"/>
      <c r="AZ14" s="302"/>
      <c r="BJ14" s="302"/>
      <c r="BK14" s="302"/>
      <c r="BU14" s="302"/>
      <c r="BV14" s="302"/>
      <c r="CF14" s="302"/>
      <c r="CG14" s="302"/>
      <c r="CQ14" s="302"/>
      <c r="CR14" s="302"/>
      <c r="DB14" s="302"/>
      <c r="DC14" s="302"/>
      <c r="DM14" s="302"/>
      <c r="DN14" s="302"/>
      <c r="DX14" s="302"/>
      <c r="DY14" s="302"/>
      <c r="EI14" s="302"/>
      <c r="EJ14" s="302"/>
    </row>
    <row r="15" spans="1:142" ht="12.75">
      <c r="A15" s="292" t="s">
        <v>33</v>
      </c>
      <c r="B15" s="293"/>
      <c r="C15" s="91">
        <v>1664</v>
      </c>
      <c r="D15" s="92">
        <v>1482</v>
      </c>
      <c r="E15" s="71">
        <f>D15-C15</f>
        <v>-182</v>
      </c>
      <c r="F15" s="99">
        <f>E15/D15</f>
        <v>-0.12280701754385964</v>
      </c>
      <c r="G15" s="71">
        <f>SUM(C15)</f>
        <v>1664</v>
      </c>
      <c r="H15" s="71">
        <f>SUM(D15)</f>
        <v>1482</v>
      </c>
      <c r="I15" s="91">
        <f>H15-G15</f>
        <v>-182</v>
      </c>
      <c r="J15" s="99">
        <f>I15/H15</f>
        <v>-0.12280701754385964</v>
      </c>
      <c r="L15" s="292" t="s">
        <v>33</v>
      </c>
      <c r="M15" s="293"/>
      <c r="N15" s="110">
        <v>1221</v>
      </c>
      <c r="O15" s="111">
        <v>1334</v>
      </c>
      <c r="P15" s="71">
        <f>O15-N15</f>
        <v>113</v>
      </c>
      <c r="Q15" s="113">
        <f>P15/O15</f>
        <v>0.08470764617691154</v>
      </c>
      <c r="R15" s="71">
        <f>SUM(G15+N15)</f>
        <v>2885</v>
      </c>
      <c r="S15" s="71">
        <f>SUM(H15+O15)</f>
        <v>2816</v>
      </c>
      <c r="T15" s="112">
        <f>S15-R15</f>
        <v>-69</v>
      </c>
      <c r="U15" s="113">
        <f>T15/S15</f>
        <v>-0.024502840909090908</v>
      </c>
      <c r="W15" s="292" t="s">
        <v>33</v>
      </c>
      <c r="X15" s="293"/>
      <c r="Y15" s="110">
        <v>1223</v>
      </c>
      <c r="Z15" s="111">
        <v>1174</v>
      </c>
      <c r="AA15" s="112">
        <f>Z15-Y15</f>
        <v>-49</v>
      </c>
      <c r="AB15" s="113">
        <f>AA15/Z15</f>
        <v>-0.041737649063032366</v>
      </c>
      <c r="AC15" s="71">
        <f>SUM(R15+Y15)</f>
        <v>4108</v>
      </c>
      <c r="AD15" s="71">
        <f>SUM(S15+Z15)</f>
        <v>3990</v>
      </c>
      <c r="AE15" s="112">
        <f>AD15-AC15</f>
        <v>-118</v>
      </c>
      <c r="AF15" s="113">
        <f>AE15/AD15</f>
        <v>-0.02957393483709273</v>
      </c>
      <c r="AH15" s="292" t="s">
        <v>33</v>
      </c>
      <c r="AI15" s="293"/>
      <c r="AJ15" s="110">
        <v>920</v>
      </c>
      <c r="AK15" s="111">
        <v>992</v>
      </c>
      <c r="AL15" s="112">
        <f>AK15-AJ15</f>
        <v>72</v>
      </c>
      <c r="AM15" s="113">
        <f>AL15/AK15</f>
        <v>0.07258064516129033</v>
      </c>
      <c r="AN15" s="71">
        <f>SUM(AC15+AJ15)</f>
        <v>5028</v>
      </c>
      <c r="AO15" s="71">
        <f>SUM(AD15+AK15)</f>
        <v>4982</v>
      </c>
      <c r="AP15" s="112">
        <f>AO15-AN15</f>
        <v>-46</v>
      </c>
      <c r="AQ15" s="113">
        <f>AP15/AO15</f>
        <v>-0.00923323966278603</v>
      </c>
      <c r="AS15" s="292" t="s">
        <v>33</v>
      </c>
      <c r="AT15" s="293"/>
      <c r="AU15" s="110">
        <v>945</v>
      </c>
      <c r="AV15" s="111">
        <v>1035</v>
      </c>
      <c r="AW15" s="112">
        <f>AV15-AU15</f>
        <v>90</v>
      </c>
      <c r="AX15" s="113">
        <f>AW15/AV15</f>
        <v>0.08695652173913043</v>
      </c>
      <c r="AY15" s="71">
        <f>SUM(AN15+AU15)</f>
        <v>5973</v>
      </c>
      <c r="AZ15" s="71">
        <f>SUM(AO15+AV15)</f>
        <v>6017</v>
      </c>
      <c r="BA15" s="112">
        <f>AZ15-AY15</f>
        <v>44</v>
      </c>
      <c r="BB15" s="113">
        <f>BA15/AZ15</f>
        <v>0.007312614259597806</v>
      </c>
      <c r="BD15" s="292" t="s">
        <v>33</v>
      </c>
      <c r="BE15" s="293"/>
      <c r="BF15" s="110">
        <v>1223</v>
      </c>
      <c r="BG15" s="111">
        <v>1241</v>
      </c>
      <c r="BH15" s="112">
        <f>BG15-BF15</f>
        <v>18</v>
      </c>
      <c r="BI15" s="113">
        <f>BH15/BG15</f>
        <v>0.014504431909750202</v>
      </c>
      <c r="BJ15" s="71">
        <f>SUM(AY15+BF15)</f>
        <v>7196</v>
      </c>
      <c r="BK15" s="71">
        <f>SUM(AZ15+BG15)</f>
        <v>7258</v>
      </c>
      <c r="BL15" s="112">
        <f>BK15-BJ15</f>
        <v>62</v>
      </c>
      <c r="BM15" s="113">
        <f>BL15/BK15</f>
        <v>0.008542298153761367</v>
      </c>
      <c r="BO15" s="292" t="s">
        <v>33</v>
      </c>
      <c r="BP15" s="293"/>
      <c r="BQ15" s="110">
        <v>1262</v>
      </c>
      <c r="BR15" s="110">
        <v>1317</v>
      </c>
      <c r="BS15" s="112">
        <f>BR15-BQ15</f>
        <v>55</v>
      </c>
      <c r="BT15" s="113">
        <f>BS15/BR15</f>
        <v>0.04176157934700076</v>
      </c>
      <c r="BU15" s="71">
        <f>SUM(BJ15+BQ15)</f>
        <v>8458</v>
      </c>
      <c r="BV15" s="71">
        <f>SUM(BK15+BR15)</f>
        <v>8575</v>
      </c>
      <c r="BW15" s="112">
        <f>BV15-BU15</f>
        <v>117</v>
      </c>
      <c r="BX15" s="113">
        <f>BW15/BV15</f>
        <v>0.013644314868804665</v>
      </c>
      <c r="BZ15" s="292" t="s">
        <v>33</v>
      </c>
      <c r="CA15" s="293"/>
      <c r="CB15" s="110">
        <v>1259</v>
      </c>
      <c r="CC15" s="110">
        <v>1123</v>
      </c>
      <c r="CD15" s="112">
        <f>CC15-CB15</f>
        <v>-136</v>
      </c>
      <c r="CE15" s="113">
        <f>CD15/CC15</f>
        <v>-0.12110418521816563</v>
      </c>
      <c r="CF15" s="71">
        <f>SUM(BU15+CB15)</f>
        <v>9717</v>
      </c>
      <c r="CG15" s="71">
        <f>SUM(BV15+CC15)</f>
        <v>9698</v>
      </c>
      <c r="CH15" s="112">
        <f>CG15-CF15</f>
        <v>-19</v>
      </c>
      <c r="CI15" s="113">
        <f>CH15/CG15</f>
        <v>-0.001959166838523407</v>
      </c>
      <c r="CK15" s="292" t="s">
        <v>33</v>
      </c>
      <c r="CL15" s="293"/>
      <c r="CM15" s="110">
        <v>1290</v>
      </c>
      <c r="CN15" s="111">
        <v>1432</v>
      </c>
      <c r="CO15" s="112">
        <f>CN15-CM15</f>
        <v>142</v>
      </c>
      <c r="CP15" s="113">
        <f>CO15/CN15</f>
        <v>0.09916201117318436</v>
      </c>
      <c r="CQ15" s="71">
        <f>SUM(CF15+CM15)</f>
        <v>11007</v>
      </c>
      <c r="CR15" s="71">
        <f>SUM(CG15+CN15)</f>
        <v>11130</v>
      </c>
      <c r="CS15" s="112">
        <f>CR15-CQ15</f>
        <v>123</v>
      </c>
      <c r="CT15" s="113">
        <f>CS15/CR15</f>
        <v>0.011051212938005392</v>
      </c>
      <c r="CV15" s="292" t="s">
        <v>33</v>
      </c>
      <c r="CW15" s="293"/>
      <c r="CX15" s="110">
        <v>720</v>
      </c>
      <c r="CY15" s="110">
        <v>893</v>
      </c>
      <c r="CZ15" s="112">
        <f>CY15-CX15</f>
        <v>173</v>
      </c>
      <c r="DA15" s="113">
        <f>CZ15/CY15</f>
        <v>0.1937290033594625</v>
      </c>
      <c r="DB15" s="71">
        <f>SUM(CQ15+CX15)</f>
        <v>11727</v>
      </c>
      <c r="DC15" s="71">
        <f>SUM(CR15+CY15)</f>
        <v>12023</v>
      </c>
      <c r="DD15" s="112">
        <f>DC15-DB15</f>
        <v>296</v>
      </c>
      <c r="DE15" s="113">
        <f>DD15/DC15</f>
        <v>0.02461947933128171</v>
      </c>
      <c r="DG15" s="292" t="s">
        <v>33</v>
      </c>
      <c r="DH15" s="293"/>
      <c r="DI15" s="110"/>
      <c r="DJ15" s="111"/>
      <c r="DK15" s="112">
        <f>DJ15-DI15</f>
        <v>0</v>
      </c>
      <c r="DL15" s="113" t="e">
        <f>DK15/DJ15</f>
        <v>#DIV/0!</v>
      </c>
      <c r="DM15" s="71">
        <f>SUM(DB15+DI15)</f>
        <v>11727</v>
      </c>
      <c r="DN15" s="71">
        <f>SUM(DC15+DJ15)</f>
        <v>12023</v>
      </c>
      <c r="DO15" s="112">
        <f>DN15-DM15</f>
        <v>296</v>
      </c>
      <c r="DP15" s="113">
        <f>DO15/DN15</f>
        <v>0.02461947933128171</v>
      </c>
      <c r="DR15" s="292" t="s">
        <v>33</v>
      </c>
      <c r="DS15" s="293"/>
      <c r="DT15" s="110"/>
      <c r="DU15" s="111">
        <v>1323</v>
      </c>
      <c r="DV15" s="112">
        <f>DU15-DT15</f>
        <v>1323</v>
      </c>
      <c r="DW15" s="113">
        <f>DV15/DU15</f>
        <v>1</v>
      </c>
      <c r="DX15" s="71">
        <f>SUM(DM15+DT15)</f>
        <v>11727</v>
      </c>
      <c r="DY15" s="71">
        <f>SUM(DN15+DU15)</f>
        <v>13346</v>
      </c>
      <c r="DZ15" s="112">
        <f>DY15-DX15</f>
        <v>1619</v>
      </c>
      <c r="EA15" s="113">
        <f>DZ15/DY15</f>
        <v>0.12130975573205455</v>
      </c>
      <c r="EC15" s="292" t="s">
        <v>33</v>
      </c>
      <c r="ED15" s="293"/>
      <c r="EE15" s="110"/>
      <c r="EF15" s="111">
        <v>1470</v>
      </c>
      <c r="EG15" s="112">
        <f>EF15-EE15</f>
        <v>1470</v>
      </c>
      <c r="EH15" s="113">
        <f>EG15/EF15</f>
        <v>1</v>
      </c>
      <c r="EI15" s="71">
        <f>SUM(DX15+EE15)</f>
        <v>11727</v>
      </c>
      <c r="EJ15" s="71">
        <f>SUM(DY15+EF15)</f>
        <v>14816</v>
      </c>
      <c r="EK15" s="112">
        <f>EJ15-EI15</f>
        <v>3089</v>
      </c>
      <c r="EL15" s="113">
        <f>EK15/EJ15</f>
        <v>0.20849082073434125</v>
      </c>
    </row>
    <row r="16" spans="1:142" ht="13.5" thickBot="1">
      <c r="A16" s="294" t="s">
        <v>34</v>
      </c>
      <c r="B16" s="295"/>
      <c r="C16" s="81">
        <v>1361</v>
      </c>
      <c r="D16" s="82">
        <v>1267</v>
      </c>
      <c r="E16" s="72">
        <f>D16-C16</f>
        <v>-94</v>
      </c>
      <c r="F16" s="116">
        <f>E16/D16</f>
        <v>-0.07419100236779795</v>
      </c>
      <c r="G16" s="72">
        <f>SUM(C16)</f>
        <v>1361</v>
      </c>
      <c r="H16" s="72">
        <f>SUM(D16)</f>
        <v>1267</v>
      </c>
      <c r="I16" s="115">
        <f>H16-G16</f>
        <v>-94</v>
      </c>
      <c r="J16" s="116">
        <f>I16/H16</f>
        <v>-0.07419100236779795</v>
      </c>
      <c r="L16" s="294" t="s">
        <v>34</v>
      </c>
      <c r="M16" s="295"/>
      <c r="N16" s="81">
        <v>994</v>
      </c>
      <c r="O16" s="82">
        <v>1122</v>
      </c>
      <c r="P16" s="72">
        <f>O16-N16</f>
        <v>128</v>
      </c>
      <c r="Q16" s="116">
        <f>P16/O16</f>
        <v>0.1140819964349376</v>
      </c>
      <c r="R16" s="72">
        <f>SUM(G16+N16)</f>
        <v>2355</v>
      </c>
      <c r="S16" s="72">
        <f>SUM(H16+O16)</f>
        <v>2389</v>
      </c>
      <c r="T16" s="115">
        <f>S16-R16</f>
        <v>34</v>
      </c>
      <c r="U16" s="116">
        <f>T16/S16</f>
        <v>0.014231896190874843</v>
      </c>
      <c r="W16" s="294" t="s">
        <v>34</v>
      </c>
      <c r="X16" s="295"/>
      <c r="Y16" s="81">
        <v>963</v>
      </c>
      <c r="Z16" s="82">
        <v>958</v>
      </c>
      <c r="AA16" s="115">
        <f>Z16-Y16</f>
        <v>-5</v>
      </c>
      <c r="AB16" s="116">
        <f>AA16/Z16</f>
        <v>-0.005219206680584551</v>
      </c>
      <c r="AC16" s="72">
        <f>SUM(R16+Y16)</f>
        <v>3318</v>
      </c>
      <c r="AD16" s="72">
        <f>SUM(S16+Z16)</f>
        <v>3347</v>
      </c>
      <c r="AE16" s="115">
        <f>AD16-AC16</f>
        <v>29</v>
      </c>
      <c r="AF16" s="116">
        <f>AE16/AD16</f>
        <v>0.008664475649835674</v>
      </c>
      <c r="AH16" s="294" t="s">
        <v>34</v>
      </c>
      <c r="AI16" s="295"/>
      <c r="AJ16" s="81">
        <v>745</v>
      </c>
      <c r="AK16" s="82">
        <v>804</v>
      </c>
      <c r="AL16" s="115">
        <f>AK16-AJ16</f>
        <v>59</v>
      </c>
      <c r="AM16" s="116">
        <f>AL16/AK16</f>
        <v>0.07338308457711443</v>
      </c>
      <c r="AN16" s="72">
        <f>SUM(AC16+AJ16)</f>
        <v>4063</v>
      </c>
      <c r="AO16" s="72">
        <f>SUM(AD16+AK16)</f>
        <v>4151</v>
      </c>
      <c r="AP16" s="115">
        <f>AO16-AN16</f>
        <v>88</v>
      </c>
      <c r="AQ16" s="116">
        <f>AP16/AO16</f>
        <v>0.021199710913033003</v>
      </c>
      <c r="AS16" s="294" t="s">
        <v>34</v>
      </c>
      <c r="AT16" s="295"/>
      <c r="AU16" s="81">
        <v>772</v>
      </c>
      <c r="AV16" s="82">
        <v>820</v>
      </c>
      <c r="AW16" s="115">
        <f>AV16-AU16</f>
        <v>48</v>
      </c>
      <c r="AX16" s="116">
        <f>AW16/AV16</f>
        <v>0.05853658536585366</v>
      </c>
      <c r="AY16" s="72">
        <f>SUM(AN16+AU16)</f>
        <v>4835</v>
      </c>
      <c r="AZ16" s="72">
        <f>SUM(AO16+AV16)</f>
        <v>4971</v>
      </c>
      <c r="BA16" s="115">
        <f>AZ16-AY16</f>
        <v>136</v>
      </c>
      <c r="BB16" s="116">
        <f>BA16/AZ16</f>
        <v>0.02735868034600684</v>
      </c>
      <c r="BD16" s="294" t="s">
        <v>34</v>
      </c>
      <c r="BE16" s="295"/>
      <c r="BF16" s="81">
        <v>1030</v>
      </c>
      <c r="BG16" s="82">
        <v>966</v>
      </c>
      <c r="BH16" s="115">
        <f>BG16-BF16</f>
        <v>-64</v>
      </c>
      <c r="BI16" s="116">
        <f>BH16/BG16</f>
        <v>-0.06625258799171843</v>
      </c>
      <c r="BJ16" s="72">
        <f>SUM(AY16+BF16)</f>
        <v>5865</v>
      </c>
      <c r="BK16" s="72">
        <f>SUM(AZ16+BG16)</f>
        <v>5937</v>
      </c>
      <c r="BL16" s="115">
        <f>BK16-BJ16</f>
        <v>72</v>
      </c>
      <c r="BM16" s="116">
        <f>BL16/BK16</f>
        <v>0.01212733703890854</v>
      </c>
      <c r="BO16" s="294" t="s">
        <v>34</v>
      </c>
      <c r="BP16" s="295"/>
      <c r="BQ16" s="81">
        <v>1030</v>
      </c>
      <c r="BR16" s="81">
        <v>1079</v>
      </c>
      <c r="BS16" s="115">
        <f>BR16-BQ16</f>
        <v>49</v>
      </c>
      <c r="BT16" s="116">
        <f>BS16/BR16</f>
        <v>0.04541241890639481</v>
      </c>
      <c r="BU16" s="72">
        <f>SUM(BJ16+BQ16)</f>
        <v>6895</v>
      </c>
      <c r="BV16" s="72">
        <f>SUM(BK16+BR16)</f>
        <v>7016</v>
      </c>
      <c r="BW16" s="115">
        <f>BV16-BU16</f>
        <v>121</v>
      </c>
      <c r="BX16" s="116">
        <f>BW16/BV16</f>
        <v>0.017246294184720637</v>
      </c>
      <c r="BZ16" s="294" t="s">
        <v>34</v>
      </c>
      <c r="CA16" s="295"/>
      <c r="CB16" s="81">
        <v>1011</v>
      </c>
      <c r="CC16" s="81">
        <v>1359</v>
      </c>
      <c r="CD16" s="115">
        <f>CC16-CB16</f>
        <v>348</v>
      </c>
      <c r="CE16" s="116">
        <f>CD16/CC16</f>
        <v>0.2560706401766004</v>
      </c>
      <c r="CF16" s="72">
        <f>SUM(BU16+CB16)</f>
        <v>7906</v>
      </c>
      <c r="CG16" s="72">
        <f>SUM(BV16+CC16)</f>
        <v>8375</v>
      </c>
      <c r="CH16" s="115">
        <f>CG16-CF16</f>
        <v>469</v>
      </c>
      <c r="CI16" s="116">
        <f>CH16/CG16</f>
        <v>0.056</v>
      </c>
      <c r="CK16" s="294" t="s">
        <v>34</v>
      </c>
      <c r="CL16" s="295"/>
      <c r="CM16" s="81">
        <v>1011</v>
      </c>
      <c r="CN16" s="82">
        <v>1145</v>
      </c>
      <c r="CO16" s="115">
        <f>CN16-CM16</f>
        <v>134</v>
      </c>
      <c r="CP16" s="116">
        <f>CO16/CN16</f>
        <v>0.11703056768558952</v>
      </c>
      <c r="CQ16" s="72">
        <f>SUM(CF16+CM16)</f>
        <v>8917</v>
      </c>
      <c r="CR16" s="72">
        <f>SUM(CG16+CN16)</f>
        <v>9520</v>
      </c>
      <c r="CS16" s="115">
        <f>CR16-CQ16</f>
        <v>603</v>
      </c>
      <c r="CT16" s="116">
        <f>CS16/CR16</f>
        <v>0.06334033613445378</v>
      </c>
      <c r="CV16" s="294" t="s">
        <v>34</v>
      </c>
      <c r="CW16" s="295"/>
      <c r="CX16" s="81">
        <v>578</v>
      </c>
      <c r="CY16" s="81">
        <v>717</v>
      </c>
      <c r="CZ16" s="115">
        <f>CY16-CX16</f>
        <v>139</v>
      </c>
      <c r="DA16" s="116">
        <f>CZ16/CY16</f>
        <v>0.19386331938633194</v>
      </c>
      <c r="DB16" s="72">
        <f>SUM(CQ16+CX16)</f>
        <v>9495</v>
      </c>
      <c r="DC16" s="72">
        <f>SUM(CR16+CY16)</f>
        <v>10237</v>
      </c>
      <c r="DD16" s="115">
        <f>DC16-DB16</f>
        <v>742</v>
      </c>
      <c r="DE16" s="116">
        <f>DD16/DC16</f>
        <v>0.07248217251147797</v>
      </c>
      <c r="DG16" s="294" t="s">
        <v>34</v>
      </c>
      <c r="DH16" s="295"/>
      <c r="DI16" s="81"/>
      <c r="DJ16" s="82"/>
      <c r="DK16" s="115">
        <f>DJ16-DI16</f>
        <v>0</v>
      </c>
      <c r="DL16" s="116" t="e">
        <f>DK16/DJ16</f>
        <v>#DIV/0!</v>
      </c>
      <c r="DM16" s="72">
        <f>SUM(DB16+DI16)</f>
        <v>9495</v>
      </c>
      <c r="DN16" s="72">
        <f>SUM(DC16+DJ16)</f>
        <v>10237</v>
      </c>
      <c r="DO16" s="115">
        <f>DN16-DM16</f>
        <v>742</v>
      </c>
      <c r="DP16" s="116">
        <f>DO16/DN16</f>
        <v>0.07248217251147797</v>
      </c>
      <c r="DR16" s="294" t="s">
        <v>34</v>
      </c>
      <c r="DS16" s="295"/>
      <c r="DT16" s="81"/>
      <c r="DU16" s="82">
        <v>1120</v>
      </c>
      <c r="DV16" s="115">
        <f>DU16-DT16</f>
        <v>1120</v>
      </c>
      <c r="DW16" s="116">
        <f>DV16/DU16</f>
        <v>1</v>
      </c>
      <c r="DX16" s="72">
        <f>SUM(DM16+DT16)</f>
        <v>9495</v>
      </c>
      <c r="DY16" s="72">
        <f>SUM(DN16+DU16)</f>
        <v>11357</v>
      </c>
      <c r="DZ16" s="115">
        <f>DY16-DX16</f>
        <v>1862</v>
      </c>
      <c r="EA16" s="116">
        <f>DZ16/DY16</f>
        <v>0.1639517478207273</v>
      </c>
      <c r="EC16" s="294" t="s">
        <v>34</v>
      </c>
      <c r="ED16" s="295"/>
      <c r="EE16" s="81"/>
      <c r="EF16" s="82">
        <v>1172</v>
      </c>
      <c r="EG16" s="115">
        <f>EF16-EE16</f>
        <v>1172</v>
      </c>
      <c r="EH16" s="116">
        <f>EG16/EF16</f>
        <v>1</v>
      </c>
      <c r="EI16" s="72">
        <f>SUM(DX16+EE16)</f>
        <v>9495</v>
      </c>
      <c r="EJ16" s="72">
        <f>SUM(DY16+EF16)</f>
        <v>12529</v>
      </c>
      <c r="EK16" s="115">
        <f>EJ16-EI16</f>
        <v>3034</v>
      </c>
      <c r="EL16" s="116">
        <f>EK16/EJ16</f>
        <v>0.24215819299225796</v>
      </c>
    </row>
    <row r="17" spans="1:134" ht="13.5" thickBot="1">
      <c r="A17" s="70"/>
      <c r="B17" s="70"/>
      <c r="L17" s="70"/>
      <c r="M17" s="70"/>
      <c r="W17" s="70"/>
      <c r="X17" s="70"/>
      <c r="AH17" s="70"/>
      <c r="AI17" s="70"/>
      <c r="AS17" s="70"/>
      <c r="AT17" s="70"/>
      <c r="BD17" s="70"/>
      <c r="BE17" s="70"/>
      <c r="BO17" s="70"/>
      <c r="BP17" s="70"/>
      <c r="BR17">
        <v>1432</v>
      </c>
      <c r="BZ17" s="70"/>
      <c r="CA17" s="70"/>
      <c r="CK17" s="70"/>
      <c r="CL17" s="70"/>
      <c r="CV17" s="70"/>
      <c r="CW17" s="70"/>
      <c r="DG17" s="70"/>
      <c r="DH17" s="70"/>
      <c r="DR17" s="70"/>
      <c r="DS17" s="70"/>
      <c r="EC17" s="70"/>
      <c r="ED17" s="70"/>
    </row>
    <row r="18" spans="1:142" ht="12.75">
      <c r="A18" s="292" t="s">
        <v>35</v>
      </c>
      <c r="B18" s="293"/>
      <c r="C18" s="118">
        <f>C13/C15</f>
        <v>36.960348557692306</v>
      </c>
      <c r="D18" s="119">
        <f>D13/D15</f>
        <v>34.36234817813765</v>
      </c>
      <c r="E18" s="119">
        <f>D18-C18</f>
        <v>-2.598000379554655</v>
      </c>
      <c r="F18" s="114">
        <f>E18/D18</f>
        <v>-0.07560601988217966</v>
      </c>
      <c r="G18" s="118">
        <f>G13/G15</f>
        <v>36.960348557692306</v>
      </c>
      <c r="H18" s="119">
        <f>H13/H15</f>
        <v>34.36234817813765</v>
      </c>
      <c r="I18" s="119">
        <f>H18-G18</f>
        <v>-2.598000379554655</v>
      </c>
      <c r="J18" s="114">
        <f>I18/H18</f>
        <v>-0.07560601988217966</v>
      </c>
      <c r="L18" s="292" t="s">
        <v>35</v>
      </c>
      <c r="M18" s="293"/>
      <c r="N18" s="118">
        <f>N13/N15</f>
        <v>37.86977886977887</v>
      </c>
      <c r="O18" s="119">
        <f>O13/O15</f>
        <v>27.754122938530735</v>
      </c>
      <c r="P18" s="119">
        <f>O18-N18</f>
        <v>-10.115655931248135</v>
      </c>
      <c r="Q18" s="114">
        <f>P18/O18</f>
        <v>-0.3644739901762374</v>
      </c>
      <c r="R18" s="118">
        <f>R13/R15</f>
        <v>37.34524090121317</v>
      </c>
      <c r="S18" s="119">
        <f>S13/S15</f>
        <v>31.231889204545453</v>
      </c>
      <c r="T18" s="119">
        <f>S18-R18</f>
        <v>-6.1133516966677135</v>
      </c>
      <c r="U18" s="114">
        <f>T18/S18</f>
        <v>-0.19574069492337925</v>
      </c>
      <c r="W18" s="292" t="s">
        <v>35</v>
      </c>
      <c r="X18" s="293"/>
      <c r="Y18" s="118">
        <f>Y13/Y15</f>
        <v>33.3756418642682</v>
      </c>
      <c r="Z18" s="119">
        <f>Z13/Z15</f>
        <v>31.83390119250426</v>
      </c>
      <c r="AA18" s="119">
        <f>Z18-Y18</f>
        <v>-1.541740671763936</v>
      </c>
      <c r="AB18" s="114">
        <f>AA18/Z18</f>
        <v>-0.048430780206321696</v>
      </c>
      <c r="AC18" s="118">
        <f>AC13/AC15</f>
        <v>36.163444498539434</v>
      </c>
      <c r="AD18" s="119">
        <f>AD13/AD15</f>
        <v>31.409022556390976</v>
      </c>
      <c r="AE18" s="119">
        <f>AD18-AC18</f>
        <v>-4.754421942148458</v>
      </c>
      <c r="AF18" s="114">
        <f>AE18/AD18</f>
        <v>-0.1513712161406006</v>
      </c>
      <c r="AH18" s="292" t="s">
        <v>35</v>
      </c>
      <c r="AI18" s="293"/>
      <c r="AJ18" s="118">
        <f>AJ13/AJ15</f>
        <v>32.30828260869565</v>
      </c>
      <c r="AK18" s="119">
        <f>AK13/AK15</f>
        <v>30.358870967741936</v>
      </c>
      <c r="AL18" s="119">
        <f>AK18-AJ18</f>
        <v>-1.9494116409537128</v>
      </c>
      <c r="AM18" s="114">
        <f>AL18/AK18</f>
        <v>-0.06421225753174668</v>
      </c>
      <c r="AN18" s="118">
        <f>AN13/AN15</f>
        <v>35.458044948289576</v>
      </c>
      <c r="AO18" s="119">
        <f>AO13/AO15</f>
        <v>31.199919710959453</v>
      </c>
      <c r="AP18" s="119">
        <f>AO18-AN18</f>
        <v>-4.258125237330123</v>
      </c>
      <c r="AQ18" s="114">
        <f>AP18/AO18</f>
        <v>-0.13647872420115206</v>
      </c>
      <c r="AS18" s="292" t="s">
        <v>35</v>
      </c>
      <c r="AT18" s="293"/>
      <c r="AU18" s="118">
        <f>AU13/AU15</f>
        <v>36.197809523809525</v>
      </c>
      <c r="AV18" s="119">
        <f>AV13/AV15</f>
        <v>27.88888888888889</v>
      </c>
      <c r="AW18" s="119">
        <f>AV18-AU18</f>
        <v>-8.308920634920636</v>
      </c>
      <c r="AX18" s="114">
        <f>AW18/AV18</f>
        <v>-0.2979294251565168</v>
      </c>
      <c r="AY18" s="118">
        <f>AY13/AY15</f>
        <v>35.575084547128746</v>
      </c>
      <c r="AZ18" s="119">
        <f>AZ13/AZ15</f>
        <v>30.630380588333058</v>
      </c>
      <c r="BA18" s="119">
        <f>AZ18-AY18</f>
        <v>-4.944703958795689</v>
      </c>
      <c r="BB18" s="114">
        <f>BA18/AZ18</f>
        <v>-0.16143135879542742</v>
      </c>
      <c r="BD18" s="292" t="s">
        <v>35</v>
      </c>
      <c r="BE18" s="293"/>
      <c r="BF18" s="118">
        <f>BF13/BF15</f>
        <v>41.439165985282095</v>
      </c>
      <c r="BG18" s="119">
        <f>BG13/BG15</f>
        <v>32.112006446414185</v>
      </c>
      <c r="BH18" s="119">
        <f>BG18-BF18</f>
        <v>-9.32715953886791</v>
      </c>
      <c r="BI18" s="114">
        <f>BH18/BG18</f>
        <v>-0.290457077306343</v>
      </c>
      <c r="BJ18" s="118">
        <f>BJ13/BJ15</f>
        <v>36.57171762090049</v>
      </c>
      <c r="BK18" s="119">
        <f>BK13/BK15</f>
        <v>30.88371452190686</v>
      </c>
      <c r="BL18" s="119">
        <f>BK18-BJ18</f>
        <v>-5.688003098993633</v>
      </c>
      <c r="BM18" s="114">
        <f>BL18/BK18</f>
        <v>-0.18417483735510315</v>
      </c>
      <c r="BO18" s="292" t="s">
        <v>35</v>
      </c>
      <c r="BP18" s="293"/>
      <c r="BQ18" s="118">
        <f>BQ13/BQ15</f>
        <v>35.45748019017432</v>
      </c>
      <c r="BR18" s="118">
        <v>1145</v>
      </c>
      <c r="BS18" s="119">
        <f>BR18-BQ18</f>
        <v>1109.5425198098258</v>
      </c>
      <c r="BT18" s="114">
        <f>BS18/BR18</f>
        <v>0.9690327683928609</v>
      </c>
      <c r="BU18" s="118">
        <f>BU13/BU15</f>
        <v>36.40546464885315</v>
      </c>
      <c r="BV18" s="119">
        <f>BV13/BV15</f>
        <v>32.87173877551021</v>
      </c>
      <c r="BW18" s="119">
        <f>BV18-BU18</f>
        <v>-3.533725873342938</v>
      </c>
      <c r="BX18" s="114">
        <f>BW18/BV18</f>
        <v>-0.10750042452806302</v>
      </c>
      <c r="BZ18" s="292" t="s">
        <v>35</v>
      </c>
      <c r="CA18" s="293"/>
      <c r="CB18" s="118">
        <f>CB13/CB15</f>
        <v>36.730524225575856</v>
      </c>
      <c r="CC18" s="118">
        <f>CC13/CC15</f>
        <v>34.40375779162956</v>
      </c>
      <c r="CD18" s="119">
        <f>CC18-CB18</f>
        <v>-2.326766433946297</v>
      </c>
      <c r="CE18" s="114">
        <f>CD18/CC18</f>
        <v>-0.06763117122375509</v>
      </c>
      <c r="CF18" s="118">
        <f>CF13/CF15</f>
        <v>36.44758155809405</v>
      </c>
      <c r="CG18" s="119">
        <f>CG13/CG15</f>
        <v>33.04914209115282</v>
      </c>
      <c r="CH18" s="119">
        <f>CG18-CF18</f>
        <v>-3.398439466941234</v>
      </c>
      <c r="CI18" s="114">
        <f>CH18/CG18</f>
        <v>-0.102829884587261</v>
      </c>
      <c r="CK18" s="292" t="s">
        <v>35</v>
      </c>
      <c r="CL18" s="293"/>
      <c r="CM18" s="118">
        <f>CM13/CM15</f>
        <v>39.57272868217054</v>
      </c>
      <c r="CN18" s="119">
        <f>CN13/CN15</f>
        <v>41.965782122905026</v>
      </c>
      <c r="CO18" s="119">
        <f>CN18-CM18</f>
        <v>2.3930534407344837</v>
      </c>
      <c r="CP18" s="114">
        <f>CO18/CN18</f>
        <v>0.05702392091075432</v>
      </c>
      <c r="CQ18" s="118">
        <f>CQ13/CQ15</f>
        <v>36.81384300899427</v>
      </c>
      <c r="CR18" s="119">
        <f>CR13/CR15</f>
        <v>34.1963683737646</v>
      </c>
      <c r="CS18" s="119">
        <f>CR18-CQ18</f>
        <v>-2.6174746352296694</v>
      </c>
      <c r="CT18" s="114">
        <f>CS18/CR18</f>
        <v>-0.07654247394403997</v>
      </c>
      <c r="CV18" s="292" t="s">
        <v>35</v>
      </c>
      <c r="CW18" s="293"/>
      <c r="CX18" s="118">
        <f>CX13/CX15</f>
        <v>64.06327777777777</v>
      </c>
      <c r="CY18" s="119">
        <f>CY13/CY15</f>
        <v>46.45124300111982</v>
      </c>
      <c r="CZ18" s="119">
        <f>CY18-CX18</f>
        <v>-17.61203477665795</v>
      </c>
      <c r="DA18" s="114">
        <f>CZ18/CY18</f>
        <v>-0.37915099013030434</v>
      </c>
      <c r="DB18" s="118">
        <f>DB13/DB15</f>
        <v>38.48687046985588</v>
      </c>
      <c r="DC18" s="119">
        <f>DC13/DC15</f>
        <v>35.10659070115612</v>
      </c>
      <c r="DD18" s="119">
        <f>DC18-DB18</f>
        <v>-3.380279768699758</v>
      </c>
      <c r="DE18" s="114">
        <f>DD18/DC18</f>
        <v>-0.09628618732802326</v>
      </c>
      <c r="DG18" s="292" t="s">
        <v>35</v>
      </c>
      <c r="DH18" s="293"/>
      <c r="DI18" s="118" t="e">
        <f>DI13/DI15</f>
        <v>#DIV/0!</v>
      </c>
      <c r="DJ18" s="119" t="e">
        <f>DJ13/DJ15</f>
        <v>#DIV/0!</v>
      </c>
      <c r="DK18" s="119" t="e">
        <f>DJ18-DI18</f>
        <v>#DIV/0!</v>
      </c>
      <c r="DL18" s="114" t="e">
        <f>DK18/DJ18</f>
        <v>#DIV/0!</v>
      </c>
      <c r="DM18" s="118">
        <f>DM13/DM15</f>
        <v>43.26766436428753</v>
      </c>
      <c r="DN18" s="119">
        <f>DN13/DN15</f>
        <v>39.76965316476753</v>
      </c>
      <c r="DO18" s="119">
        <f>DN18-DM18</f>
        <v>-3.4980111995200005</v>
      </c>
      <c r="DP18" s="114">
        <f>DO18/DN18</f>
        <v>-0.08795679421763063</v>
      </c>
      <c r="DR18" s="292" t="s">
        <v>35</v>
      </c>
      <c r="DS18" s="293"/>
      <c r="DT18" s="118" t="e">
        <f>DT13/DT15</f>
        <v>#DIV/0!</v>
      </c>
      <c r="DU18" s="119">
        <f>DU13/DU15</f>
        <v>33.07331821617536</v>
      </c>
      <c r="DV18" s="119" t="e">
        <f>DU18-DT18</f>
        <v>#DIV/0!</v>
      </c>
      <c r="DW18" s="114" t="e">
        <f>DV18/DU18</f>
        <v>#DIV/0!</v>
      </c>
      <c r="DX18" s="118">
        <f>DX13/DX15</f>
        <v>46.86303402404707</v>
      </c>
      <c r="DY18" s="119">
        <f>DY13/DY15</f>
        <v>39.10583995204556</v>
      </c>
      <c r="DZ18" s="119">
        <f>DY18-DX18</f>
        <v>-7.757194072001511</v>
      </c>
      <c r="EA18" s="114">
        <f>DZ18/DY18</f>
        <v>-0.19836408274349687</v>
      </c>
      <c r="EC18" s="292" t="s">
        <v>35</v>
      </c>
      <c r="ED18" s="293"/>
      <c r="EE18" s="118" t="e">
        <f>EE13/EE15</f>
        <v>#DIV/0!</v>
      </c>
      <c r="EF18" s="119">
        <f>EF13/EF15</f>
        <v>29.818455782312924</v>
      </c>
      <c r="EG18" s="119" t="e">
        <f>EF18-EE18</f>
        <v>#DIV/0!</v>
      </c>
      <c r="EH18" s="114" t="e">
        <f>EG18/EF18</f>
        <v>#DIV/0!</v>
      </c>
      <c r="EI18" s="118">
        <f>EI13/EI15</f>
        <v>50.790889400528684</v>
      </c>
      <c r="EJ18" s="119">
        <f>EJ13/EJ15</f>
        <v>38.18437297516199</v>
      </c>
      <c r="EK18" s="119">
        <f>EJ18-EI18</f>
        <v>-12.606516425366692</v>
      </c>
      <c r="EL18" s="114">
        <f>EK18/EJ18</f>
        <v>-0.3301485776279979</v>
      </c>
    </row>
    <row r="19" spans="1:142" ht="13.5" thickBot="1">
      <c r="A19" s="294" t="s">
        <v>36</v>
      </c>
      <c r="B19" s="295"/>
      <c r="C19" s="120">
        <f>C13/C16</f>
        <v>45.18884643644379</v>
      </c>
      <c r="D19" s="121">
        <f>D13/D16</f>
        <v>40.193370165745854</v>
      </c>
      <c r="E19" s="121">
        <f>D19-C19</f>
        <v>-4.995476270697935</v>
      </c>
      <c r="F19" s="117">
        <f>E19/D19</f>
        <v>-0.12428607628815481</v>
      </c>
      <c r="G19" s="120">
        <f>G13/G16</f>
        <v>45.18884643644379</v>
      </c>
      <c r="H19" s="121">
        <f>H13/H16</f>
        <v>40.193370165745854</v>
      </c>
      <c r="I19" s="121">
        <f>H19-G19</f>
        <v>-4.995476270697935</v>
      </c>
      <c r="J19" s="117">
        <f>I19/H19</f>
        <v>-0.12428607628815481</v>
      </c>
      <c r="L19" s="294" t="s">
        <v>36</v>
      </c>
      <c r="M19" s="295"/>
      <c r="N19" s="120">
        <f>N13/N16</f>
        <v>46.51810865191147</v>
      </c>
      <c r="O19" s="121">
        <f>O13/O16</f>
        <v>32.998217468805706</v>
      </c>
      <c r="P19" s="121">
        <f>O19-N19</f>
        <v>-13.519891183105763</v>
      </c>
      <c r="Q19" s="117">
        <f>P19/O19</f>
        <v>-0.40971580346382525</v>
      </c>
      <c r="R19" s="120">
        <f>R13/R16</f>
        <v>45.74990233545647</v>
      </c>
      <c r="S19" s="121">
        <f>S13/S16</f>
        <v>36.81414817915446</v>
      </c>
      <c r="T19" s="121">
        <f>S19-R19</f>
        <v>-8.93575415630201</v>
      </c>
      <c r="U19" s="117">
        <f>T19/S19</f>
        <v>-0.24272608761220144</v>
      </c>
      <c r="W19" s="294" t="s">
        <v>36</v>
      </c>
      <c r="X19" s="295"/>
      <c r="Y19" s="120">
        <f>Y13/Y16</f>
        <v>42.38671858774663</v>
      </c>
      <c r="Z19" s="121">
        <f>Z13/Z16</f>
        <v>39.011482254697285</v>
      </c>
      <c r="AA19" s="121">
        <f>Z19-Y19</f>
        <v>-3.375236333049344</v>
      </c>
      <c r="AB19" s="117">
        <f>AA19/Z19</f>
        <v>-0.08651904869989756</v>
      </c>
      <c r="AC19" s="120">
        <f>AC13/AC16</f>
        <v>44.77378842676311</v>
      </c>
      <c r="AD19" s="121">
        <f>AD13/AD16</f>
        <v>37.44308335823125</v>
      </c>
      <c r="AE19" s="121">
        <f>AD19-AC19</f>
        <v>-7.330705068531863</v>
      </c>
      <c r="AF19" s="117">
        <f>AE19/AD19</f>
        <v>-0.19578262287847423</v>
      </c>
      <c r="AH19" s="294" t="s">
        <v>36</v>
      </c>
      <c r="AI19" s="295"/>
      <c r="AJ19" s="120">
        <f>AJ13/AJ16</f>
        <v>39.897476510067115</v>
      </c>
      <c r="AK19" s="121">
        <f>AK13/AK16</f>
        <v>37.45771144278607</v>
      </c>
      <c r="AL19" s="121">
        <f>AK19-AJ19</f>
        <v>-2.4397650672810443</v>
      </c>
      <c r="AM19" s="117">
        <f>AL19/AK19</f>
        <v>-0.06513385290523176</v>
      </c>
      <c r="AN19" s="120">
        <f>AN13/AN16</f>
        <v>43.879657888259906</v>
      </c>
      <c r="AO19" s="121">
        <f>AO13/AO16</f>
        <v>37.445916646591186</v>
      </c>
      <c r="AP19" s="121">
        <f>AO19-AN19</f>
        <v>-6.43374124166872</v>
      </c>
      <c r="AQ19" s="117">
        <f>AP19/AO19</f>
        <v>-0.1718142275001406</v>
      </c>
      <c r="AS19" s="294" t="s">
        <v>36</v>
      </c>
      <c r="AT19" s="295"/>
      <c r="AU19" s="120">
        <f>AU13/AU16</f>
        <v>44.30949481865285</v>
      </c>
      <c r="AV19" s="121">
        <f>AV13/AV16</f>
        <v>35.201219512195124</v>
      </c>
      <c r="AW19" s="121">
        <f>AV19-AU19</f>
        <v>-9.108275306457728</v>
      </c>
      <c r="AX19" s="117">
        <f>AW19/AV19</f>
        <v>-0.258748856791801</v>
      </c>
      <c r="AY19" s="120">
        <f>AY13/AY16</f>
        <v>43.94828955532574</v>
      </c>
      <c r="AZ19" s="121">
        <f>AZ13/AZ16</f>
        <v>37.07563870448602</v>
      </c>
      <c r="BA19" s="121">
        <f>AZ19-AY19</f>
        <v>-6.872650850839726</v>
      </c>
      <c r="BB19" s="117">
        <f>BA19/AZ19</f>
        <v>-0.18536837370810175</v>
      </c>
      <c r="BD19" s="294" t="s">
        <v>36</v>
      </c>
      <c r="BE19" s="295"/>
      <c r="BF19" s="120">
        <f>BF13/BF16</f>
        <v>49.203980582524274</v>
      </c>
      <c r="BG19" s="121">
        <f>BG13/BG16</f>
        <v>41.2536231884058</v>
      </c>
      <c r="BH19" s="121">
        <f>BG19-BF19</f>
        <v>-7.950357394118477</v>
      </c>
      <c r="BI19" s="117">
        <f>BH19/BG19</f>
        <v>-0.19271900937789388</v>
      </c>
      <c r="BJ19" s="120">
        <f>BJ13/BJ16</f>
        <v>44.871283887468024</v>
      </c>
      <c r="BK19" s="121">
        <f>BK13/BK16</f>
        <v>37.75543203638201</v>
      </c>
      <c r="BL19" s="121">
        <f>BK19-BJ19</f>
        <v>-7.115851851086013</v>
      </c>
      <c r="BM19" s="117">
        <f>BL19/BK19</f>
        <v>-0.1884722665662788</v>
      </c>
      <c r="BO19" s="294" t="s">
        <v>36</v>
      </c>
      <c r="BP19" s="295"/>
      <c r="BQ19" s="120">
        <f>BQ13/BQ16</f>
        <v>43.44401941747572</v>
      </c>
      <c r="BR19" s="120">
        <f>BR13/BR16</f>
        <v>53.49505097312326</v>
      </c>
      <c r="BS19" s="121">
        <f>BR19-BQ19</f>
        <v>10.05103155564754</v>
      </c>
      <c r="BT19" s="117">
        <f>BS19/BR19</f>
        <v>0.1878871292355125</v>
      </c>
      <c r="BU19" s="120">
        <f>BU13/BU16</f>
        <v>44.65807396664248</v>
      </c>
      <c r="BV19" s="121">
        <f>BV13/BV16</f>
        <v>40.17604903078678</v>
      </c>
      <c r="BW19" s="121">
        <f>BV19-BU19</f>
        <v>-4.482024935855705</v>
      </c>
      <c r="BX19" s="117">
        <f>BW19/BV19</f>
        <v>-0.11155962430305537</v>
      </c>
      <c r="BZ19" s="294" t="s">
        <v>36</v>
      </c>
      <c r="CA19" s="295"/>
      <c r="CB19" s="120">
        <f>CB13/CB16</f>
        <v>45.740583580613254</v>
      </c>
      <c r="CC19" s="120">
        <f>CC13/CC16</f>
        <v>28.429300956585724</v>
      </c>
      <c r="CD19" s="121">
        <f>CC19-CB19</f>
        <v>-17.31128262402753</v>
      </c>
      <c r="CE19" s="117">
        <f>CD19/CC19</f>
        <v>-0.6089239637113668</v>
      </c>
      <c r="CF19" s="120">
        <f>CF13/CF16</f>
        <v>44.796502656210464</v>
      </c>
      <c r="CG19" s="121">
        <f>CG13/CG16</f>
        <v>38.26992</v>
      </c>
      <c r="CH19" s="121">
        <f>CG19-CF19</f>
        <v>-6.526582656210465</v>
      </c>
      <c r="CI19" s="117">
        <f>CH19/CG19</f>
        <v>-0.1705407969551665</v>
      </c>
      <c r="CK19" s="294" t="s">
        <v>36</v>
      </c>
      <c r="CL19" s="295"/>
      <c r="CM19" s="120">
        <f>CM13/CM16</f>
        <v>50.49339268051434</v>
      </c>
      <c r="CN19" s="121">
        <f>CN13/CN16</f>
        <v>52.48471615720524</v>
      </c>
      <c r="CO19" s="121">
        <f>CN19-CM19</f>
        <v>1.9913234766909014</v>
      </c>
      <c r="CP19" s="117">
        <f>CO19/CN19</f>
        <v>0.03794101640421137</v>
      </c>
      <c r="CQ19" s="120">
        <f>CQ13/CQ16</f>
        <v>45.44241000336435</v>
      </c>
      <c r="CR19" s="121">
        <f>CR13/CR16</f>
        <v>39.97957773109244</v>
      </c>
      <c r="CS19" s="121">
        <f>CR19-CQ19</f>
        <v>-5.4628322722719105</v>
      </c>
      <c r="CT19" s="117">
        <f>CS19/CR19</f>
        <v>-0.13664056956818285</v>
      </c>
      <c r="CV19" s="294" t="s">
        <v>36</v>
      </c>
      <c r="CW19" s="295"/>
      <c r="CX19" s="120">
        <f>CX13/CX16</f>
        <v>79.80200692041522</v>
      </c>
      <c r="CY19" s="121">
        <f>CY13/CY16</f>
        <v>57.85350069735007</v>
      </c>
      <c r="CZ19" s="121">
        <f>CY19-CX19</f>
        <v>-21.948506223065152</v>
      </c>
      <c r="DA19" s="117">
        <f>CZ19/CY19</f>
        <v>-0.3793807800479476</v>
      </c>
      <c r="DB19" s="120">
        <f>DB13/DB16</f>
        <v>47.53402106371774</v>
      </c>
      <c r="DC19" s="121">
        <f>DC13/DC16</f>
        <v>41.23146820357527</v>
      </c>
      <c r="DD19" s="121">
        <f>DC19-DB19</f>
        <v>-6.30255286014247</v>
      </c>
      <c r="DE19" s="117">
        <f>DD19/DC19</f>
        <v>-0.15285783249396784</v>
      </c>
      <c r="DG19" s="294" t="s">
        <v>36</v>
      </c>
      <c r="DH19" s="295"/>
      <c r="DI19" s="120" t="e">
        <f>DI13/DI16</f>
        <v>#DIV/0!</v>
      </c>
      <c r="DJ19" s="121" t="e">
        <f>DJ13/DJ16</f>
        <v>#DIV/0!</v>
      </c>
      <c r="DK19" s="121" t="e">
        <f>DJ19-DI19</f>
        <v>#DIV/0!</v>
      </c>
      <c r="DL19" s="117" t="e">
        <f>DK19/DJ19</f>
        <v>#DIV/0!</v>
      </c>
      <c r="DM19" s="120">
        <f>DM13/DM16</f>
        <v>53.43864139020536</v>
      </c>
      <c r="DN19" s="121">
        <f>DN13/DN16</f>
        <v>46.708072677542255</v>
      </c>
      <c r="DO19" s="121">
        <f>DN19-DM19</f>
        <v>-6.730568712663107</v>
      </c>
      <c r="DP19" s="117">
        <f>DO19/DN19</f>
        <v>-0.1440986177941621</v>
      </c>
      <c r="DR19" s="294" t="s">
        <v>36</v>
      </c>
      <c r="DS19" s="295"/>
      <c r="DT19" s="120" t="e">
        <f>DT13/DT16</f>
        <v>#DIV/0!</v>
      </c>
      <c r="DU19" s="121">
        <f>DU13/DU16</f>
        <v>39.06785714285714</v>
      </c>
      <c r="DV19" s="121" t="e">
        <f>DU19-DT19</f>
        <v>#DIV/0!</v>
      </c>
      <c r="DW19" s="117" t="e">
        <f>DV19/DU19</f>
        <v>#DIV/0!</v>
      </c>
      <c r="DX19" s="120">
        <f>DX13/DX16</f>
        <v>57.879178515007894</v>
      </c>
      <c r="DY19" s="121">
        <f>DY13/DY16</f>
        <v>45.95461301400018</v>
      </c>
      <c r="DZ19" s="121">
        <f>DY19-DX19</f>
        <v>-11.924565501007713</v>
      </c>
      <c r="EA19" s="117">
        <f>DZ19/DY19</f>
        <v>-0.2594857125088806</v>
      </c>
      <c r="EC19" s="294" t="s">
        <v>36</v>
      </c>
      <c r="ED19" s="295"/>
      <c r="EE19" s="120" t="e">
        <f>EE13/EE16</f>
        <v>#DIV/0!</v>
      </c>
      <c r="EF19" s="121">
        <f>EF13/EF16</f>
        <v>37.40028156996587</v>
      </c>
      <c r="EG19" s="121" t="e">
        <f>EF19-EE19</f>
        <v>#DIV/0!</v>
      </c>
      <c r="EH19" s="117" t="e">
        <f>EG19/EF19</f>
        <v>#DIV/0!</v>
      </c>
      <c r="EI19" s="120">
        <f>EI13/EI16</f>
        <v>62.73035913638756</v>
      </c>
      <c r="EJ19" s="121">
        <f>EJ13/EJ16</f>
        <v>45.15441535637322</v>
      </c>
      <c r="EK19" s="121">
        <f>EJ19-EI19</f>
        <v>-17.57594378001434</v>
      </c>
      <c r="EL19" s="117">
        <f>EK19/EJ19</f>
        <v>-0.3892408669517548</v>
      </c>
    </row>
  </sheetData>
  <sheetProtection/>
  <mergeCells count="78">
    <mergeCell ref="D10:F10"/>
    <mergeCell ref="H10:J10"/>
    <mergeCell ref="A1:K1"/>
    <mergeCell ref="A2:K2"/>
    <mergeCell ref="A3:K3"/>
    <mergeCell ref="A8:K8"/>
    <mergeCell ref="O10:Q10"/>
    <mergeCell ref="S10:U10"/>
    <mergeCell ref="Z10:AB10"/>
    <mergeCell ref="AD10:AF10"/>
    <mergeCell ref="L1:V1"/>
    <mergeCell ref="L2:V2"/>
    <mergeCell ref="L3:V3"/>
    <mergeCell ref="L8:V8"/>
    <mergeCell ref="AK10:AM10"/>
    <mergeCell ref="AO10:AQ10"/>
    <mergeCell ref="W1:AG1"/>
    <mergeCell ref="W2:AG2"/>
    <mergeCell ref="AH1:AR1"/>
    <mergeCell ref="AH2:AR2"/>
    <mergeCell ref="AH3:AR3"/>
    <mergeCell ref="AH8:AR8"/>
    <mergeCell ref="W3:AG3"/>
    <mergeCell ref="W8:AG8"/>
    <mergeCell ref="BD1:BN1"/>
    <mergeCell ref="BD2:BN2"/>
    <mergeCell ref="BD3:BN3"/>
    <mergeCell ref="BD8:BN8"/>
    <mergeCell ref="AS1:BC1"/>
    <mergeCell ref="AS2:BC2"/>
    <mergeCell ref="AS3:BC3"/>
    <mergeCell ref="AS8:BC8"/>
    <mergeCell ref="AV10:AX10"/>
    <mergeCell ref="AZ10:BB10"/>
    <mergeCell ref="BG10:BI10"/>
    <mergeCell ref="BK10:BM10"/>
    <mergeCell ref="BR10:BT10"/>
    <mergeCell ref="BV10:BX10"/>
    <mergeCell ref="CC10:CE10"/>
    <mergeCell ref="CG10:CI10"/>
    <mergeCell ref="BO1:BY1"/>
    <mergeCell ref="BO2:BY2"/>
    <mergeCell ref="BZ1:CJ1"/>
    <mergeCell ref="BZ2:CJ2"/>
    <mergeCell ref="BZ3:CJ3"/>
    <mergeCell ref="BZ8:CJ8"/>
    <mergeCell ref="BO3:BY3"/>
    <mergeCell ref="BO8:BY8"/>
    <mergeCell ref="CV1:DF1"/>
    <mergeCell ref="CV2:DF2"/>
    <mergeCell ref="CV3:DF3"/>
    <mergeCell ref="CV8:DF8"/>
    <mergeCell ref="CK1:CU1"/>
    <mergeCell ref="CK2:CU2"/>
    <mergeCell ref="CK3:CU3"/>
    <mergeCell ref="CK8:CU8"/>
    <mergeCell ref="CN10:CP10"/>
    <mergeCell ref="CR10:CT10"/>
    <mergeCell ref="CY10:DA10"/>
    <mergeCell ref="DC10:DE10"/>
    <mergeCell ref="DJ10:DL10"/>
    <mergeCell ref="DN10:DP10"/>
    <mergeCell ref="DU10:DW10"/>
    <mergeCell ref="DY10:EA10"/>
    <mergeCell ref="DG1:DQ1"/>
    <mergeCell ref="DG2:DQ2"/>
    <mergeCell ref="DR1:EB1"/>
    <mergeCell ref="DR2:EB2"/>
    <mergeCell ref="DR3:EB3"/>
    <mergeCell ref="DR8:EB8"/>
    <mergeCell ref="DG3:DQ3"/>
    <mergeCell ref="DG8:DQ8"/>
    <mergeCell ref="EF10:EH10"/>
    <mergeCell ref="EJ10:EL10"/>
    <mergeCell ref="EC1:EM1"/>
    <mergeCell ref="EC2:EM2"/>
    <mergeCell ref="EC3:EM3"/>
    <mergeCell ref="EC8:EM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r:id="rId2"/>
  <headerFooter alignWithMargins="0">
    <oddHeader>&amp;C&amp;14Cité de la Santé de Laval</oddHeader>
    <oddFooter>&amp;L&amp;F&amp;C&amp;P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24"/>
  <sheetViews>
    <sheetView zoomScalePageLayoutView="0" workbookViewId="0" topLeftCell="DR1">
      <selection activeCell="DZ7" sqref="DZ7"/>
    </sheetView>
  </sheetViews>
  <sheetFormatPr defaultColWidth="11.421875" defaultRowHeight="12.75"/>
  <cols>
    <col min="1" max="1" width="24.7109375" style="0" bestFit="1" customWidth="1"/>
    <col min="2" max="2" width="10.140625" style="0" customWidth="1"/>
    <col min="3" max="5" width="9.7109375" style="0" customWidth="1"/>
    <col min="6" max="6" width="15.7109375" style="0" customWidth="1"/>
    <col min="7" max="9" width="9.7109375" style="0" customWidth="1"/>
    <col min="11" max="11" width="24.7109375" style="0" bestFit="1" customWidth="1"/>
    <col min="12" max="12" width="10.140625" style="0" customWidth="1"/>
    <col min="13" max="15" width="9.7109375" style="0" customWidth="1"/>
    <col min="16" max="16" width="14.8515625" style="0" bestFit="1" customWidth="1"/>
    <col min="17" max="19" width="9.7109375" style="0" customWidth="1"/>
    <col min="21" max="21" width="24.7109375" style="0" bestFit="1" customWidth="1"/>
    <col min="22" max="22" width="10.140625" style="0" customWidth="1"/>
    <col min="23" max="25" width="9.7109375" style="0" customWidth="1"/>
    <col min="26" max="26" width="14.8515625" style="0" bestFit="1" customWidth="1"/>
    <col min="27" max="29" width="9.7109375" style="0" customWidth="1"/>
    <col min="31" max="31" width="24.7109375" style="0" bestFit="1" customWidth="1"/>
    <col min="32" max="32" width="10.140625" style="0" customWidth="1"/>
    <col min="33" max="35" width="9.7109375" style="0" customWidth="1"/>
    <col min="36" max="36" width="14.8515625" style="0" bestFit="1" customWidth="1"/>
    <col min="37" max="39" width="9.7109375" style="0" customWidth="1"/>
    <col min="41" max="41" width="24.7109375" style="0" bestFit="1" customWidth="1"/>
    <col min="42" max="42" width="10.140625" style="0" customWidth="1"/>
    <col min="43" max="45" width="9.7109375" style="0" customWidth="1"/>
    <col min="46" max="46" width="14.8515625" style="0" bestFit="1" customWidth="1"/>
    <col min="47" max="49" width="9.7109375" style="0" customWidth="1"/>
    <col min="51" max="51" width="24.7109375" style="0" bestFit="1" customWidth="1"/>
    <col min="52" max="52" width="10.140625" style="0" customWidth="1"/>
    <col min="53" max="55" width="9.7109375" style="0" customWidth="1"/>
    <col min="56" max="56" width="14.8515625" style="0" bestFit="1" customWidth="1"/>
    <col min="57" max="59" width="9.7109375" style="0" customWidth="1"/>
    <col min="61" max="61" width="24.7109375" style="0" bestFit="1" customWidth="1"/>
    <col min="62" max="62" width="10.140625" style="0" customWidth="1"/>
    <col min="63" max="65" width="9.7109375" style="0" customWidth="1"/>
    <col min="66" max="66" width="14.8515625" style="0" bestFit="1" customWidth="1"/>
    <col min="67" max="69" width="9.7109375" style="0" customWidth="1"/>
    <col min="71" max="71" width="24.7109375" style="0" bestFit="1" customWidth="1"/>
    <col min="72" max="72" width="10.140625" style="0" customWidth="1"/>
    <col min="73" max="75" width="9.7109375" style="0" customWidth="1"/>
    <col min="76" max="76" width="14.8515625" style="0" bestFit="1" customWidth="1"/>
    <col min="77" max="79" width="9.7109375" style="0" customWidth="1"/>
    <col min="81" max="81" width="24.7109375" style="0" bestFit="1" customWidth="1"/>
    <col min="82" max="82" width="10.140625" style="0" customWidth="1"/>
    <col min="83" max="85" width="9.7109375" style="0" customWidth="1"/>
    <col min="86" max="86" width="14.8515625" style="0" bestFit="1" customWidth="1"/>
    <col min="87" max="89" width="9.7109375" style="0" customWidth="1"/>
    <col min="91" max="91" width="24.7109375" style="0" bestFit="1" customWidth="1"/>
    <col min="92" max="92" width="10.140625" style="0" customWidth="1"/>
    <col min="93" max="95" width="9.7109375" style="0" customWidth="1"/>
    <col min="96" max="96" width="14.8515625" style="0" bestFit="1" customWidth="1"/>
    <col min="97" max="99" width="9.7109375" style="0" customWidth="1"/>
    <col min="101" max="101" width="24.7109375" style="0" bestFit="1" customWidth="1"/>
    <col min="102" max="102" width="10.140625" style="0" customWidth="1"/>
    <col min="103" max="105" width="9.7109375" style="0" customWidth="1"/>
    <col min="106" max="106" width="14.8515625" style="0" bestFit="1" customWidth="1"/>
    <col min="107" max="109" width="9.7109375" style="0" customWidth="1"/>
    <col min="111" max="111" width="24.7109375" style="0" bestFit="1" customWidth="1"/>
    <col min="112" max="112" width="10.140625" style="0" customWidth="1"/>
    <col min="113" max="115" width="9.7109375" style="0" customWidth="1"/>
    <col min="116" max="116" width="14.8515625" style="0" bestFit="1" customWidth="1"/>
    <col min="117" max="119" width="9.7109375" style="0" customWidth="1"/>
    <col min="121" max="121" width="24.7109375" style="0" bestFit="1" customWidth="1"/>
    <col min="122" max="122" width="10.140625" style="0" customWidth="1"/>
    <col min="123" max="125" width="9.7109375" style="0" customWidth="1"/>
    <col min="126" max="126" width="14.8515625" style="0" bestFit="1" customWidth="1"/>
    <col min="127" max="129" width="9.7109375" style="0" customWidth="1"/>
  </cols>
  <sheetData>
    <row r="1" spans="1:129" ht="12.75">
      <c r="A1" s="495" t="s">
        <v>127</v>
      </c>
      <c r="B1" s="495"/>
      <c r="C1" s="495"/>
      <c r="D1" s="495"/>
      <c r="E1" s="495"/>
      <c r="F1" s="495"/>
      <c r="G1" s="495"/>
      <c r="H1" s="495"/>
      <c r="I1" s="495"/>
      <c r="K1" s="495" t="s">
        <v>127</v>
      </c>
      <c r="L1" s="495"/>
      <c r="M1" s="495"/>
      <c r="N1" s="495"/>
      <c r="O1" s="495"/>
      <c r="P1" s="495"/>
      <c r="Q1" s="495"/>
      <c r="R1" s="495"/>
      <c r="S1" s="495"/>
      <c r="U1" s="495" t="s">
        <v>127</v>
      </c>
      <c r="V1" s="495"/>
      <c r="W1" s="495"/>
      <c r="X1" s="495"/>
      <c r="Y1" s="495"/>
      <c r="Z1" s="495"/>
      <c r="AA1" s="495"/>
      <c r="AB1" s="495"/>
      <c r="AC1" s="495"/>
      <c r="AE1" s="495" t="s">
        <v>127</v>
      </c>
      <c r="AF1" s="495"/>
      <c r="AG1" s="495"/>
      <c r="AH1" s="495"/>
      <c r="AI1" s="495"/>
      <c r="AJ1" s="495"/>
      <c r="AK1" s="495"/>
      <c r="AL1" s="495"/>
      <c r="AM1" s="495"/>
      <c r="AO1" s="495" t="s">
        <v>127</v>
      </c>
      <c r="AP1" s="495"/>
      <c r="AQ1" s="495"/>
      <c r="AR1" s="495"/>
      <c r="AS1" s="495"/>
      <c r="AT1" s="495"/>
      <c r="AU1" s="495"/>
      <c r="AV1" s="495"/>
      <c r="AW1" s="495"/>
      <c r="AY1" s="495" t="s">
        <v>127</v>
      </c>
      <c r="AZ1" s="495"/>
      <c r="BA1" s="495"/>
      <c r="BB1" s="495"/>
      <c r="BC1" s="495"/>
      <c r="BD1" s="495"/>
      <c r="BE1" s="495"/>
      <c r="BF1" s="495"/>
      <c r="BG1" s="495"/>
      <c r="BI1" s="495" t="s">
        <v>127</v>
      </c>
      <c r="BJ1" s="495"/>
      <c r="BK1" s="495"/>
      <c r="BL1" s="495"/>
      <c r="BM1" s="495"/>
      <c r="BN1" s="495"/>
      <c r="BO1" s="495"/>
      <c r="BP1" s="495"/>
      <c r="BQ1" s="495"/>
      <c r="BS1" s="495" t="s">
        <v>127</v>
      </c>
      <c r="BT1" s="495"/>
      <c r="BU1" s="495"/>
      <c r="BV1" s="495"/>
      <c r="BW1" s="495"/>
      <c r="BX1" s="495"/>
      <c r="BY1" s="495"/>
      <c r="BZ1" s="495"/>
      <c r="CA1" s="495"/>
      <c r="CC1" s="495" t="s">
        <v>127</v>
      </c>
      <c r="CD1" s="495"/>
      <c r="CE1" s="495"/>
      <c r="CF1" s="495"/>
      <c r="CG1" s="495"/>
      <c r="CH1" s="495"/>
      <c r="CI1" s="495"/>
      <c r="CJ1" s="495"/>
      <c r="CK1" s="495"/>
      <c r="CM1" s="495" t="s">
        <v>127</v>
      </c>
      <c r="CN1" s="495"/>
      <c r="CO1" s="495"/>
      <c r="CP1" s="495"/>
      <c r="CQ1" s="495"/>
      <c r="CR1" s="495"/>
      <c r="CS1" s="495"/>
      <c r="CT1" s="495"/>
      <c r="CU1" s="495"/>
      <c r="CW1" s="495" t="s">
        <v>127</v>
      </c>
      <c r="CX1" s="495"/>
      <c r="CY1" s="495"/>
      <c r="CZ1" s="495"/>
      <c r="DA1" s="495"/>
      <c r="DB1" s="495"/>
      <c r="DC1" s="495"/>
      <c r="DD1" s="495"/>
      <c r="DE1" s="495"/>
      <c r="DG1" s="495" t="s">
        <v>127</v>
      </c>
      <c r="DH1" s="495"/>
      <c r="DI1" s="495"/>
      <c r="DJ1" s="495"/>
      <c r="DK1" s="495"/>
      <c r="DL1" s="495"/>
      <c r="DM1" s="495"/>
      <c r="DN1" s="495"/>
      <c r="DO1" s="495"/>
      <c r="DQ1" s="495" t="s">
        <v>127</v>
      </c>
      <c r="DR1" s="495"/>
      <c r="DS1" s="495"/>
      <c r="DT1" s="495"/>
      <c r="DU1" s="495"/>
      <c r="DV1" s="495"/>
      <c r="DW1" s="495"/>
      <c r="DX1" s="495"/>
      <c r="DY1" s="495"/>
    </row>
    <row r="2" spans="1:129" ht="12.75">
      <c r="A2" s="495" t="s">
        <v>216</v>
      </c>
      <c r="B2" s="495"/>
      <c r="C2" s="495"/>
      <c r="D2" s="495"/>
      <c r="E2" s="495"/>
      <c r="F2" s="495"/>
      <c r="G2" s="495"/>
      <c r="H2" s="495"/>
      <c r="I2" s="495"/>
      <c r="K2" s="495" t="s">
        <v>217</v>
      </c>
      <c r="L2" s="495"/>
      <c r="M2" s="495"/>
      <c r="N2" s="495"/>
      <c r="O2" s="495"/>
      <c r="P2" s="495"/>
      <c r="Q2" s="495"/>
      <c r="R2" s="495"/>
      <c r="S2" s="495"/>
      <c r="U2" s="495" t="s">
        <v>184</v>
      </c>
      <c r="V2" s="495"/>
      <c r="W2" s="495"/>
      <c r="X2" s="495"/>
      <c r="Y2" s="495"/>
      <c r="Z2" s="495"/>
      <c r="AA2" s="495"/>
      <c r="AB2" s="495"/>
      <c r="AC2" s="495"/>
      <c r="AE2" s="495" t="s">
        <v>233</v>
      </c>
      <c r="AF2" s="495"/>
      <c r="AG2" s="495"/>
      <c r="AH2" s="495"/>
      <c r="AI2" s="495"/>
      <c r="AJ2" s="495"/>
      <c r="AK2" s="495"/>
      <c r="AL2" s="495"/>
      <c r="AM2" s="495"/>
      <c r="AO2" s="495" t="s">
        <v>236</v>
      </c>
      <c r="AP2" s="495"/>
      <c r="AQ2" s="495"/>
      <c r="AR2" s="495"/>
      <c r="AS2" s="495"/>
      <c r="AT2" s="495"/>
      <c r="AU2" s="495"/>
      <c r="AV2" s="495"/>
      <c r="AW2" s="495"/>
      <c r="AY2" s="495" t="s">
        <v>240</v>
      </c>
      <c r="AZ2" s="495"/>
      <c r="BA2" s="495"/>
      <c r="BB2" s="495"/>
      <c r="BC2" s="495"/>
      <c r="BD2" s="495"/>
      <c r="BE2" s="495"/>
      <c r="BF2" s="495"/>
      <c r="BG2" s="495"/>
      <c r="BI2" s="495" t="s">
        <v>246</v>
      </c>
      <c r="BJ2" s="495"/>
      <c r="BK2" s="495"/>
      <c r="BL2" s="495"/>
      <c r="BM2" s="495"/>
      <c r="BN2" s="495"/>
      <c r="BO2" s="495"/>
      <c r="BP2" s="495"/>
      <c r="BQ2" s="495"/>
      <c r="BS2" s="495" t="s">
        <v>245</v>
      </c>
      <c r="BT2" s="495"/>
      <c r="BU2" s="495"/>
      <c r="BV2" s="495"/>
      <c r="BW2" s="495"/>
      <c r="BX2" s="495"/>
      <c r="BY2" s="495"/>
      <c r="BZ2" s="495"/>
      <c r="CA2" s="495"/>
      <c r="CC2" s="495" t="s">
        <v>261</v>
      </c>
      <c r="CD2" s="495"/>
      <c r="CE2" s="495"/>
      <c r="CF2" s="495"/>
      <c r="CG2" s="495"/>
      <c r="CH2" s="495"/>
      <c r="CI2" s="495"/>
      <c r="CJ2" s="495"/>
      <c r="CK2" s="495"/>
      <c r="CM2" s="495" t="s">
        <v>262</v>
      </c>
      <c r="CN2" s="495"/>
      <c r="CO2" s="495"/>
      <c r="CP2" s="495"/>
      <c r="CQ2" s="495"/>
      <c r="CR2" s="495"/>
      <c r="CS2" s="495"/>
      <c r="CT2" s="495"/>
      <c r="CU2" s="495"/>
      <c r="CW2" s="495" t="s">
        <v>266</v>
      </c>
      <c r="CX2" s="495"/>
      <c r="CY2" s="495"/>
      <c r="CZ2" s="495"/>
      <c r="DA2" s="495"/>
      <c r="DB2" s="495"/>
      <c r="DC2" s="495"/>
      <c r="DD2" s="495"/>
      <c r="DE2" s="495"/>
      <c r="DG2" s="495" t="s">
        <v>267</v>
      </c>
      <c r="DH2" s="495"/>
      <c r="DI2" s="495"/>
      <c r="DJ2" s="495"/>
      <c r="DK2" s="495"/>
      <c r="DL2" s="495"/>
      <c r="DM2" s="495"/>
      <c r="DN2" s="495"/>
      <c r="DO2" s="495"/>
      <c r="DQ2" s="495" t="s">
        <v>195</v>
      </c>
      <c r="DR2" s="495"/>
      <c r="DS2" s="495"/>
      <c r="DT2" s="495"/>
      <c r="DU2" s="495"/>
      <c r="DV2" s="495"/>
      <c r="DW2" s="495"/>
      <c r="DX2" s="495"/>
      <c r="DY2" s="495"/>
    </row>
    <row r="3" spans="1:129" ht="12.75">
      <c r="A3" s="496" t="s">
        <v>182</v>
      </c>
      <c r="B3" s="496"/>
      <c r="C3" s="496"/>
      <c r="D3" s="496"/>
      <c r="E3" s="496"/>
      <c r="F3" s="496"/>
      <c r="G3" s="496"/>
      <c r="H3" s="496"/>
      <c r="I3" s="496"/>
      <c r="K3" s="496" t="s">
        <v>182</v>
      </c>
      <c r="L3" s="496"/>
      <c r="M3" s="496"/>
      <c r="N3" s="496"/>
      <c r="O3" s="496"/>
      <c r="P3" s="496"/>
      <c r="Q3" s="496"/>
      <c r="R3" s="496"/>
      <c r="S3" s="496"/>
      <c r="U3" s="496" t="s">
        <v>182</v>
      </c>
      <c r="V3" s="496"/>
      <c r="W3" s="496"/>
      <c r="X3" s="496"/>
      <c r="Y3" s="496"/>
      <c r="Z3" s="496"/>
      <c r="AA3" s="496"/>
      <c r="AB3" s="496"/>
      <c r="AC3" s="496"/>
      <c r="AE3" s="496" t="s">
        <v>182</v>
      </c>
      <c r="AF3" s="496"/>
      <c r="AG3" s="496"/>
      <c r="AH3" s="496"/>
      <c r="AI3" s="496"/>
      <c r="AJ3" s="496"/>
      <c r="AK3" s="496"/>
      <c r="AL3" s="496"/>
      <c r="AM3" s="496"/>
      <c r="AO3" s="496" t="s">
        <v>237</v>
      </c>
      <c r="AP3" s="496"/>
      <c r="AQ3" s="496"/>
      <c r="AR3" s="496"/>
      <c r="AS3" s="496"/>
      <c r="AT3" s="496"/>
      <c r="AU3" s="496"/>
      <c r="AV3" s="496"/>
      <c r="AW3" s="496"/>
      <c r="AY3" s="496" t="s">
        <v>182</v>
      </c>
      <c r="AZ3" s="496"/>
      <c r="BA3" s="496"/>
      <c r="BB3" s="496"/>
      <c r="BC3" s="496"/>
      <c r="BD3" s="496"/>
      <c r="BE3" s="496"/>
      <c r="BF3" s="496"/>
      <c r="BG3" s="496"/>
      <c r="BI3" s="496" t="s">
        <v>182</v>
      </c>
      <c r="BJ3" s="496"/>
      <c r="BK3" s="496"/>
      <c r="BL3" s="496"/>
      <c r="BM3" s="496"/>
      <c r="BN3" s="496"/>
      <c r="BO3" s="496"/>
      <c r="BP3" s="496"/>
      <c r="BQ3" s="496"/>
      <c r="BS3" s="496" t="s">
        <v>182</v>
      </c>
      <c r="BT3" s="496"/>
      <c r="BU3" s="496"/>
      <c r="BV3" s="496"/>
      <c r="BW3" s="496"/>
      <c r="BX3" s="496"/>
      <c r="BY3" s="496"/>
      <c r="BZ3" s="496"/>
      <c r="CA3" s="496"/>
      <c r="CC3" s="496" t="s">
        <v>182</v>
      </c>
      <c r="CD3" s="496"/>
      <c r="CE3" s="496"/>
      <c r="CF3" s="496"/>
      <c r="CG3" s="496"/>
      <c r="CH3" s="496"/>
      <c r="CI3" s="496"/>
      <c r="CJ3" s="496"/>
      <c r="CK3" s="496"/>
      <c r="CM3" s="496" t="s">
        <v>182</v>
      </c>
      <c r="CN3" s="496"/>
      <c r="CO3" s="496"/>
      <c r="CP3" s="496"/>
      <c r="CQ3" s="496"/>
      <c r="CR3" s="496"/>
      <c r="CS3" s="496"/>
      <c r="CT3" s="496"/>
      <c r="CU3" s="496"/>
      <c r="CW3" s="496" t="s">
        <v>182</v>
      </c>
      <c r="CX3" s="496"/>
      <c r="CY3" s="496"/>
      <c r="CZ3" s="496"/>
      <c r="DA3" s="496"/>
      <c r="DB3" s="496"/>
      <c r="DC3" s="496"/>
      <c r="DD3" s="496"/>
      <c r="DE3" s="496"/>
      <c r="DG3" s="496" t="s">
        <v>182</v>
      </c>
      <c r="DH3" s="496"/>
      <c r="DI3" s="496"/>
      <c r="DJ3" s="496"/>
      <c r="DK3" s="496"/>
      <c r="DL3" s="496"/>
      <c r="DM3" s="496"/>
      <c r="DN3" s="496"/>
      <c r="DO3" s="496"/>
      <c r="DQ3" s="496" t="s">
        <v>182</v>
      </c>
      <c r="DR3" s="496"/>
      <c r="DS3" s="496"/>
      <c r="DT3" s="496"/>
      <c r="DU3" s="496"/>
      <c r="DV3" s="496"/>
      <c r="DW3" s="496"/>
      <c r="DX3" s="496"/>
      <c r="DY3" s="496"/>
    </row>
    <row r="4" spans="1:129" ht="12.75">
      <c r="A4" s="70"/>
      <c r="B4" s="70"/>
      <c r="C4" s="70"/>
      <c r="D4" s="70"/>
      <c r="E4" s="70"/>
      <c r="F4" s="70"/>
      <c r="G4" s="70"/>
      <c r="H4" s="70"/>
      <c r="I4" s="70"/>
      <c r="K4" s="70"/>
      <c r="L4" s="70"/>
      <c r="M4" s="70"/>
      <c r="N4" s="70"/>
      <c r="O4" s="70"/>
      <c r="P4" s="70"/>
      <c r="Q4" s="70"/>
      <c r="R4" s="70"/>
      <c r="S4" s="70"/>
      <c r="U4" s="70"/>
      <c r="V4" s="70"/>
      <c r="W4" s="70"/>
      <c r="X4" s="70"/>
      <c r="Y4" s="70"/>
      <c r="Z4" s="70"/>
      <c r="AA4" s="70"/>
      <c r="AB4" s="70"/>
      <c r="AC4" s="70"/>
      <c r="AE4" s="70"/>
      <c r="AF4" s="70"/>
      <c r="AG4" s="70"/>
      <c r="AH4" s="70"/>
      <c r="AI4" s="70"/>
      <c r="AJ4" s="70"/>
      <c r="AK4" s="70"/>
      <c r="AL4" s="70"/>
      <c r="AM4" s="70"/>
      <c r="AO4" s="70"/>
      <c r="AP4" s="70"/>
      <c r="AQ4" s="70"/>
      <c r="AR4" s="70"/>
      <c r="AS4" s="70"/>
      <c r="AT4" s="70"/>
      <c r="AU4" s="70"/>
      <c r="AV4" s="70"/>
      <c r="AW4" s="70"/>
      <c r="AY4" s="70"/>
      <c r="AZ4" s="70"/>
      <c r="BA4" s="70"/>
      <c r="BB4" s="70"/>
      <c r="BC4" s="70"/>
      <c r="BD4" s="70"/>
      <c r="BE4" s="70"/>
      <c r="BF4" s="70"/>
      <c r="BG4" s="70"/>
      <c r="BI4" s="70"/>
      <c r="BJ4" s="70"/>
      <c r="BK4" s="70"/>
      <c r="BL4" s="70"/>
      <c r="BM4" s="70"/>
      <c r="BN4" s="70"/>
      <c r="BO4" s="70"/>
      <c r="BP4" s="70"/>
      <c r="BQ4" s="70"/>
      <c r="BS4" s="70"/>
      <c r="BT4" s="70"/>
      <c r="BU4" s="70"/>
      <c r="BV4" s="70"/>
      <c r="BW4" s="70"/>
      <c r="BX4" s="70"/>
      <c r="BY4" s="70"/>
      <c r="BZ4" s="70"/>
      <c r="CA4" s="70"/>
      <c r="CC4" s="70"/>
      <c r="CD4" s="70"/>
      <c r="CE4" s="70"/>
      <c r="CF4" s="70"/>
      <c r="CG4" s="70"/>
      <c r="CH4" s="70"/>
      <c r="CI4" s="70"/>
      <c r="CJ4" s="70"/>
      <c r="CK4" s="70"/>
      <c r="CM4" s="70"/>
      <c r="CN4" s="70"/>
      <c r="CO4" s="70"/>
      <c r="CP4" s="70"/>
      <c r="CQ4" s="70"/>
      <c r="CR4" s="70"/>
      <c r="CS4" s="70"/>
      <c r="CT4" s="70"/>
      <c r="CU4" s="70"/>
      <c r="CW4" s="70"/>
      <c r="CX4" s="70"/>
      <c r="CY4" s="70"/>
      <c r="CZ4" s="70"/>
      <c r="DA4" s="70"/>
      <c r="DB4" s="70"/>
      <c r="DC4" s="70"/>
      <c r="DD4" s="70"/>
      <c r="DE4" s="70"/>
      <c r="DG4" s="70"/>
      <c r="DH4" s="70"/>
      <c r="DI4" s="70"/>
      <c r="DJ4" s="70"/>
      <c r="DK4" s="70"/>
      <c r="DL4" s="70"/>
      <c r="DM4" s="70"/>
      <c r="DN4" s="70"/>
      <c r="DO4" s="70"/>
      <c r="DQ4" s="70"/>
      <c r="DR4" s="70"/>
      <c r="DS4" s="70"/>
      <c r="DT4" s="70"/>
      <c r="DU4" s="70"/>
      <c r="DV4" s="70"/>
      <c r="DW4" s="70"/>
      <c r="DX4" s="70"/>
      <c r="DY4" s="70"/>
    </row>
    <row r="5" spans="1:129" ht="12.75">
      <c r="A5" s="70" t="s">
        <v>129</v>
      </c>
      <c r="B5" s="70"/>
      <c r="C5" s="70"/>
      <c r="D5" s="70" t="s">
        <v>151</v>
      </c>
      <c r="E5" s="70"/>
      <c r="F5" s="70"/>
      <c r="G5" s="70"/>
      <c r="H5" s="70"/>
      <c r="I5" s="70"/>
      <c r="K5" s="70" t="s">
        <v>129</v>
      </c>
      <c r="L5" s="70"/>
      <c r="M5" s="70"/>
      <c r="N5" s="70" t="s">
        <v>151</v>
      </c>
      <c r="O5" s="70"/>
      <c r="P5" s="70"/>
      <c r="Q5" s="70"/>
      <c r="R5" s="70"/>
      <c r="S5" s="70"/>
      <c r="U5" s="70" t="s">
        <v>129</v>
      </c>
      <c r="V5" s="70"/>
      <c r="W5" s="70"/>
      <c r="X5" s="70" t="s">
        <v>151</v>
      </c>
      <c r="Y5" s="70"/>
      <c r="Z5" s="70"/>
      <c r="AA5" s="70"/>
      <c r="AB5" s="70"/>
      <c r="AC5" s="70"/>
      <c r="AE5" s="70" t="s">
        <v>129</v>
      </c>
      <c r="AF5" s="70"/>
      <c r="AG5" s="70"/>
      <c r="AH5" s="70" t="s">
        <v>151</v>
      </c>
      <c r="AI5" s="70"/>
      <c r="AJ5" s="70"/>
      <c r="AK5" s="70"/>
      <c r="AL5" s="70"/>
      <c r="AM5" s="70"/>
      <c r="AO5" s="70" t="s">
        <v>129</v>
      </c>
      <c r="AP5" s="70"/>
      <c r="AQ5" s="70"/>
      <c r="AR5" s="70" t="s">
        <v>151</v>
      </c>
      <c r="AS5" s="70"/>
      <c r="AT5" s="70"/>
      <c r="AU5" s="70"/>
      <c r="AV5" s="70"/>
      <c r="AW5" s="70"/>
      <c r="AY5" s="70" t="s">
        <v>129</v>
      </c>
      <c r="AZ5" s="70"/>
      <c r="BA5" s="70"/>
      <c r="BB5" s="70" t="s">
        <v>151</v>
      </c>
      <c r="BC5" s="70"/>
      <c r="BD5" s="70"/>
      <c r="BE5" s="70"/>
      <c r="BF5" s="70"/>
      <c r="BG5" s="70"/>
      <c r="BI5" s="70" t="s">
        <v>129</v>
      </c>
      <c r="BJ5" s="70"/>
      <c r="BK5" s="70"/>
      <c r="BL5" s="70" t="s">
        <v>151</v>
      </c>
      <c r="BM5" s="70"/>
      <c r="BN5" s="70"/>
      <c r="BO5" s="70"/>
      <c r="BP5" s="70"/>
      <c r="BQ5" s="70"/>
      <c r="BS5" s="70" t="s">
        <v>129</v>
      </c>
      <c r="BT5" s="70"/>
      <c r="BU5" s="70"/>
      <c r="BV5" s="70" t="s">
        <v>151</v>
      </c>
      <c r="BW5" s="70"/>
      <c r="BX5" s="70"/>
      <c r="BY5" s="70"/>
      <c r="BZ5" s="70"/>
      <c r="CA5" s="70"/>
      <c r="CC5" s="70" t="s">
        <v>129</v>
      </c>
      <c r="CD5" s="70"/>
      <c r="CE5" s="70"/>
      <c r="CF5" s="70" t="s">
        <v>151</v>
      </c>
      <c r="CG5" s="70"/>
      <c r="CH5" s="70"/>
      <c r="CI5" s="70"/>
      <c r="CJ5" s="70"/>
      <c r="CK5" s="70"/>
      <c r="CM5" s="70" t="s">
        <v>129</v>
      </c>
      <c r="CN5" s="70"/>
      <c r="CO5" s="70"/>
      <c r="CP5" s="70" t="s">
        <v>151</v>
      </c>
      <c r="CQ5" s="70"/>
      <c r="CR5" s="70"/>
      <c r="CS5" s="70"/>
      <c r="CT5" s="70"/>
      <c r="CU5" s="70"/>
      <c r="CW5" s="70" t="s">
        <v>129</v>
      </c>
      <c r="CX5" s="70"/>
      <c r="CY5" s="70"/>
      <c r="CZ5" s="70" t="s">
        <v>151</v>
      </c>
      <c r="DA5" s="70"/>
      <c r="DB5" s="70"/>
      <c r="DC5" s="70"/>
      <c r="DD5" s="70"/>
      <c r="DE5" s="70"/>
      <c r="DG5" s="70" t="s">
        <v>129</v>
      </c>
      <c r="DH5" s="70"/>
      <c r="DI5" s="70"/>
      <c r="DJ5" s="70" t="s">
        <v>151</v>
      </c>
      <c r="DK5" s="70"/>
      <c r="DL5" s="70"/>
      <c r="DM5" s="70"/>
      <c r="DN5" s="70"/>
      <c r="DO5" s="70"/>
      <c r="DQ5" s="70" t="s">
        <v>129</v>
      </c>
      <c r="DR5" s="70"/>
      <c r="DS5" s="70"/>
      <c r="DT5" s="70" t="s">
        <v>151</v>
      </c>
      <c r="DU5" s="70"/>
      <c r="DV5" s="70"/>
      <c r="DW5" s="70"/>
      <c r="DX5" s="70"/>
      <c r="DY5" s="70"/>
    </row>
    <row r="6" spans="1:129" ht="12.75">
      <c r="A6" s="70" t="s">
        <v>130</v>
      </c>
      <c r="B6" s="70"/>
      <c r="C6" s="70"/>
      <c r="D6" s="70" t="s">
        <v>131</v>
      </c>
      <c r="E6" s="283"/>
      <c r="F6" s="70"/>
      <c r="G6" s="70"/>
      <c r="H6" s="70"/>
      <c r="I6" s="70"/>
      <c r="K6" s="70" t="s">
        <v>130</v>
      </c>
      <c r="L6" s="70"/>
      <c r="M6" s="70"/>
      <c r="N6" s="70" t="s">
        <v>131</v>
      </c>
      <c r="O6" s="283"/>
      <c r="P6" s="70"/>
      <c r="Q6" s="70"/>
      <c r="R6" s="70"/>
      <c r="S6" s="70"/>
      <c r="U6" s="70" t="s">
        <v>130</v>
      </c>
      <c r="V6" s="70"/>
      <c r="W6" s="70"/>
      <c r="X6" s="70" t="s">
        <v>131</v>
      </c>
      <c r="Y6" s="283"/>
      <c r="Z6" s="70"/>
      <c r="AA6" s="70"/>
      <c r="AB6" s="70"/>
      <c r="AC6" s="70"/>
      <c r="AE6" s="70" t="s">
        <v>130</v>
      </c>
      <c r="AF6" s="70"/>
      <c r="AG6" s="70"/>
      <c r="AH6" s="70" t="s">
        <v>131</v>
      </c>
      <c r="AI6" s="283"/>
      <c r="AJ6" s="70"/>
      <c r="AK6" s="70"/>
      <c r="AL6" s="70"/>
      <c r="AM6" s="70"/>
      <c r="AO6" s="70" t="s">
        <v>130</v>
      </c>
      <c r="AP6" s="70"/>
      <c r="AQ6" s="70"/>
      <c r="AR6" s="70" t="s">
        <v>131</v>
      </c>
      <c r="AS6" s="283"/>
      <c r="AT6" s="70"/>
      <c r="AU6" s="70"/>
      <c r="AV6" s="70"/>
      <c r="AW6" s="70"/>
      <c r="AY6" s="70" t="s">
        <v>130</v>
      </c>
      <c r="AZ6" s="70"/>
      <c r="BA6" s="70"/>
      <c r="BB6" s="70" t="s">
        <v>131</v>
      </c>
      <c r="BC6" s="283"/>
      <c r="BD6" s="70"/>
      <c r="BE6" s="70"/>
      <c r="BF6" s="70"/>
      <c r="BG6" s="70"/>
      <c r="BI6" s="70" t="s">
        <v>130</v>
      </c>
      <c r="BJ6" s="70"/>
      <c r="BK6" s="70"/>
      <c r="BL6" s="70" t="s">
        <v>131</v>
      </c>
      <c r="BM6" s="283"/>
      <c r="BN6" s="70"/>
      <c r="BO6" s="70"/>
      <c r="BP6" s="70"/>
      <c r="BQ6" s="70"/>
      <c r="BS6" s="70" t="s">
        <v>130</v>
      </c>
      <c r="BT6" s="70"/>
      <c r="BU6" s="70"/>
      <c r="BV6" s="70" t="s">
        <v>131</v>
      </c>
      <c r="BW6" s="283"/>
      <c r="BX6" s="70"/>
      <c r="BY6" s="70"/>
      <c r="BZ6" s="70"/>
      <c r="CA6" s="70"/>
      <c r="CC6" s="70" t="s">
        <v>130</v>
      </c>
      <c r="CD6" s="70"/>
      <c r="CE6" s="70"/>
      <c r="CF6" s="70" t="s">
        <v>131</v>
      </c>
      <c r="CG6" s="283"/>
      <c r="CH6" s="70"/>
      <c r="CI6" s="70"/>
      <c r="CJ6" s="70"/>
      <c r="CK6" s="70"/>
      <c r="CM6" s="70" t="s">
        <v>130</v>
      </c>
      <c r="CN6" s="70"/>
      <c r="CO6" s="70"/>
      <c r="CP6" s="70" t="s">
        <v>131</v>
      </c>
      <c r="CQ6" s="283"/>
      <c r="CR6" s="70"/>
      <c r="CS6" s="70"/>
      <c r="CT6" s="70"/>
      <c r="CU6" s="70"/>
      <c r="CW6" s="70" t="s">
        <v>130</v>
      </c>
      <c r="CX6" s="70"/>
      <c r="CY6" s="70"/>
      <c r="CZ6" s="70" t="s">
        <v>131</v>
      </c>
      <c r="DA6" s="283"/>
      <c r="DB6" s="70"/>
      <c r="DC6" s="70"/>
      <c r="DD6" s="70"/>
      <c r="DE6" s="70"/>
      <c r="DG6" s="70" t="s">
        <v>130</v>
      </c>
      <c r="DH6" s="70"/>
      <c r="DI6" s="70"/>
      <c r="DJ6" s="70" t="s">
        <v>131</v>
      </c>
      <c r="DK6" s="283"/>
      <c r="DL6" s="70"/>
      <c r="DM6" s="70"/>
      <c r="DN6" s="70"/>
      <c r="DO6" s="70"/>
      <c r="DQ6" s="70" t="s">
        <v>130</v>
      </c>
      <c r="DR6" s="70"/>
      <c r="DS6" s="70"/>
      <c r="DT6" s="70" t="s">
        <v>131</v>
      </c>
      <c r="DU6" s="283"/>
      <c r="DV6" s="70"/>
      <c r="DW6" s="70"/>
      <c r="DX6" s="70"/>
      <c r="DY6" s="70"/>
    </row>
    <row r="9" spans="1:129" ht="12.75">
      <c r="A9" s="495" t="s">
        <v>152</v>
      </c>
      <c r="B9" s="495"/>
      <c r="C9" s="495"/>
      <c r="D9" s="495"/>
      <c r="E9" s="495"/>
      <c r="F9" s="495"/>
      <c r="G9" s="495"/>
      <c r="H9" s="495"/>
      <c r="I9" s="495"/>
      <c r="K9" s="495" t="s">
        <v>152</v>
      </c>
      <c r="L9" s="495"/>
      <c r="M9" s="495"/>
      <c r="N9" s="495"/>
      <c r="O9" s="495"/>
      <c r="P9" s="495"/>
      <c r="Q9" s="495"/>
      <c r="R9" s="495"/>
      <c r="S9" s="495"/>
      <c r="U9" s="495" t="s">
        <v>152</v>
      </c>
      <c r="V9" s="495"/>
      <c r="W9" s="495"/>
      <c r="X9" s="495"/>
      <c r="Y9" s="495"/>
      <c r="Z9" s="495"/>
      <c r="AA9" s="495"/>
      <c r="AB9" s="495"/>
      <c r="AC9" s="495"/>
      <c r="AE9" s="495" t="s">
        <v>152</v>
      </c>
      <c r="AF9" s="495"/>
      <c r="AG9" s="495"/>
      <c r="AH9" s="495"/>
      <c r="AI9" s="495"/>
      <c r="AJ9" s="495"/>
      <c r="AK9" s="495"/>
      <c r="AL9" s="495"/>
      <c r="AM9" s="495"/>
      <c r="AO9" s="495" t="s">
        <v>152</v>
      </c>
      <c r="AP9" s="495"/>
      <c r="AQ9" s="495"/>
      <c r="AR9" s="495"/>
      <c r="AS9" s="495"/>
      <c r="AT9" s="495"/>
      <c r="AU9" s="495"/>
      <c r="AV9" s="495"/>
      <c r="AW9" s="495"/>
      <c r="AY9" s="495" t="s">
        <v>152</v>
      </c>
      <c r="AZ9" s="495"/>
      <c r="BA9" s="495"/>
      <c r="BB9" s="495"/>
      <c r="BC9" s="495"/>
      <c r="BD9" s="495"/>
      <c r="BE9" s="495"/>
      <c r="BF9" s="495"/>
      <c r="BG9" s="495"/>
      <c r="BI9" s="495" t="s">
        <v>152</v>
      </c>
      <c r="BJ9" s="495"/>
      <c r="BK9" s="495"/>
      <c r="BL9" s="495"/>
      <c r="BM9" s="495"/>
      <c r="BN9" s="495"/>
      <c r="BO9" s="495"/>
      <c r="BP9" s="495"/>
      <c r="BQ9" s="495"/>
      <c r="BS9" s="495" t="s">
        <v>152</v>
      </c>
      <c r="BT9" s="495"/>
      <c r="BU9" s="495"/>
      <c r="BV9" s="495"/>
      <c r="BW9" s="495"/>
      <c r="BX9" s="495"/>
      <c r="BY9" s="495"/>
      <c r="BZ9" s="495"/>
      <c r="CA9" s="495"/>
      <c r="CC9" s="495" t="s">
        <v>152</v>
      </c>
      <c r="CD9" s="495"/>
      <c r="CE9" s="495"/>
      <c r="CF9" s="495"/>
      <c r="CG9" s="495"/>
      <c r="CH9" s="495"/>
      <c r="CI9" s="495"/>
      <c r="CJ9" s="495"/>
      <c r="CK9" s="495"/>
      <c r="CM9" s="495" t="s">
        <v>152</v>
      </c>
      <c r="CN9" s="495"/>
      <c r="CO9" s="495"/>
      <c r="CP9" s="495"/>
      <c r="CQ9" s="495"/>
      <c r="CR9" s="495"/>
      <c r="CS9" s="495"/>
      <c r="CT9" s="495"/>
      <c r="CU9" s="495"/>
      <c r="CW9" s="495" t="s">
        <v>152</v>
      </c>
      <c r="CX9" s="495"/>
      <c r="CY9" s="495"/>
      <c r="CZ9" s="495"/>
      <c r="DA9" s="495"/>
      <c r="DB9" s="495"/>
      <c r="DC9" s="495"/>
      <c r="DD9" s="495"/>
      <c r="DE9" s="495"/>
      <c r="DG9" s="495" t="s">
        <v>152</v>
      </c>
      <c r="DH9" s="495"/>
      <c r="DI9" s="495"/>
      <c r="DJ9" s="495"/>
      <c r="DK9" s="495"/>
      <c r="DL9" s="495"/>
      <c r="DM9" s="495"/>
      <c r="DN9" s="495"/>
      <c r="DO9" s="495"/>
      <c r="DQ9" s="495" t="s">
        <v>152</v>
      </c>
      <c r="DR9" s="495"/>
      <c r="DS9" s="495"/>
      <c r="DT9" s="495"/>
      <c r="DU9" s="495"/>
      <c r="DV9" s="495"/>
      <c r="DW9" s="495"/>
      <c r="DX9" s="495"/>
      <c r="DY9" s="495"/>
    </row>
    <row r="10" ht="13.5" thickBot="1"/>
    <row r="11" spans="2:129" ht="13.5" thickBot="1">
      <c r="B11" s="270" t="s">
        <v>197</v>
      </c>
      <c r="C11" s="497" t="s">
        <v>196</v>
      </c>
      <c r="D11" s="498"/>
      <c r="E11" s="499"/>
      <c r="F11" s="270" t="s">
        <v>162</v>
      </c>
      <c r="G11" s="500" t="s">
        <v>198</v>
      </c>
      <c r="H11" s="498"/>
      <c r="I11" s="499"/>
      <c r="L11" s="375" t="s">
        <v>197</v>
      </c>
      <c r="M11" s="497" t="s">
        <v>196</v>
      </c>
      <c r="N11" s="498"/>
      <c r="O11" s="499"/>
      <c r="P11" s="270" t="s">
        <v>162</v>
      </c>
      <c r="Q11" s="500" t="s">
        <v>198</v>
      </c>
      <c r="R11" s="498"/>
      <c r="S11" s="499"/>
      <c r="V11" s="270" t="s">
        <v>197</v>
      </c>
      <c r="W11" s="497" t="s">
        <v>196</v>
      </c>
      <c r="X11" s="498"/>
      <c r="Y11" s="499"/>
      <c r="Z11" s="270" t="s">
        <v>162</v>
      </c>
      <c r="AA11" s="500" t="s">
        <v>198</v>
      </c>
      <c r="AB11" s="498"/>
      <c r="AC11" s="499"/>
      <c r="AF11" s="375" t="s">
        <v>197</v>
      </c>
      <c r="AG11" s="500" t="s">
        <v>196</v>
      </c>
      <c r="AH11" s="498"/>
      <c r="AI11" s="499"/>
      <c r="AJ11" s="270" t="s">
        <v>162</v>
      </c>
      <c r="AK11" s="500" t="s">
        <v>198</v>
      </c>
      <c r="AL11" s="498"/>
      <c r="AM11" s="499"/>
      <c r="AP11" s="375" t="s">
        <v>197</v>
      </c>
      <c r="AQ11" s="500" t="s">
        <v>196</v>
      </c>
      <c r="AR11" s="498"/>
      <c r="AS11" s="499"/>
      <c r="AT11" s="270" t="s">
        <v>162</v>
      </c>
      <c r="AU11" s="500" t="s">
        <v>198</v>
      </c>
      <c r="AV11" s="498"/>
      <c r="AW11" s="499"/>
      <c r="AZ11" s="375" t="s">
        <v>197</v>
      </c>
      <c r="BA11" s="497" t="s">
        <v>196</v>
      </c>
      <c r="BB11" s="498"/>
      <c r="BC11" s="499"/>
      <c r="BD11" s="270" t="s">
        <v>162</v>
      </c>
      <c r="BE11" s="500" t="s">
        <v>198</v>
      </c>
      <c r="BF11" s="498"/>
      <c r="BG11" s="499"/>
      <c r="BJ11" s="375" t="s">
        <v>197</v>
      </c>
      <c r="BK11" s="497" t="s">
        <v>196</v>
      </c>
      <c r="BL11" s="498"/>
      <c r="BM11" s="499"/>
      <c r="BN11" s="270" t="s">
        <v>162</v>
      </c>
      <c r="BO11" s="500" t="s">
        <v>198</v>
      </c>
      <c r="BP11" s="498"/>
      <c r="BQ11" s="499"/>
      <c r="BT11" s="270" t="s">
        <v>197</v>
      </c>
      <c r="BU11" s="497" t="s">
        <v>196</v>
      </c>
      <c r="BV11" s="498"/>
      <c r="BW11" s="499"/>
      <c r="BX11" s="270" t="s">
        <v>162</v>
      </c>
      <c r="BY11" s="500" t="s">
        <v>198</v>
      </c>
      <c r="BZ11" s="498"/>
      <c r="CA11" s="499"/>
      <c r="CD11" s="375" t="s">
        <v>197</v>
      </c>
      <c r="CE11" s="497" t="s">
        <v>196</v>
      </c>
      <c r="CF11" s="498"/>
      <c r="CG11" s="499"/>
      <c r="CH11" s="270" t="s">
        <v>162</v>
      </c>
      <c r="CI11" s="500" t="s">
        <v>198</v>
      </c>
      <c r="CJ11" s="498"/>
      <c r="CK11" s="499"/>
      <c r="CN11" s="375" t="s">
        <v>197</v>
      </c>
      <c r="CO11" s="497" t="s">
        <v>196</v>
      </c>
      <c r="CP11" s="498"/>
      <c r="CQ11" s="499"/>
      <c r="CR11" s="270" t="s">
        <v>162</v>
      </c>
      <c r="CS11" s="500" t="s">
        <v>198</v>
      </c>
      <c r="CT11" s="498"/>
      <c r="CU11" s="499"/>
      <c r="CX11" s="375" t="s">
        <v>197</v>
      </c>
      <c r="CY11" s="497" t="s">
        <v>196</v>
      </c>
      <c r="CZ11" s="498"/>
      <c r="DA11" s="499"/>
      <c r="DB11" s="270" t="s">
        <v>162</v>
      </c>
      <c r="DC11" s="500" t="s">
        <v>198</v>
      </c>
      <c r="DD11" s="498"/>
      <c r="DE11" s="499"/>
      <c r="DH11" s="375" t="s">
        <v>197</v>
      </c>
      <c r="DI11" s="497" t="s">
        <v>196</v>
      </c>
      <c r="DJ11" s="498"/>
      <c r="DK11" s="499"/>
      <c r="DL11" s="270" t="s">
        <v>162</v>
      </c>
      <c r="DM11" s="500" t="s">
        <v>198</v>
      </c>
      <c r="DN11" s="498"/>
      <c r="DO11" s="499"/>
      <c r="DR11" s="375" t="s">
        <v>197</v>
      </c>
      <c r="DS11" s="497" t="s">
        <v>196</v>
      </c>
      <c r="DT11" s="498"/>
      <c r="DU11" s="499"/>
      <c r="DV11" s="270" t="s">
        <v>162</v>
      </c>
      <c r="DW11" s="500" t="s">
        <v>198</v>
      </c>
      <c r="DX11" s="498"/>
      <c r="DY11" s="499"/>
    </row>
    <row r="12" spans="2:129" ht="12.75">
      <c r="B12" s="272" t="s">
        <v>3</v>
      </c>
      <c r="C12" s="273" t="s">
        <v>3</v>
      </c>
      <c r="D12" s="273" t="s">
        <v>18</v>
      </c>
      <c r="E12" s="274" t="s">
        <v>10</v>
      </c>
      <c r="F12" s="284" t="s">
        <v>201</v>
      </c>
      <c r="G12" s="272" t="s">
        <v>3</v>
      </c>
      <c r="H12" s="273" t="s">
        <v>18</v>
      </c>
      <c r="I12" s="273" t="s">
        <v>10</v>
      </c>
      <c r="L12" s="272" t="s">
        <v>3</v>
      </c>
      <c r="M12" s="273" t="s">
        <v>3</v>
      </c>
      <c r="N12" s="273" t="s">
        <v>18</v>
      </c>
      <c r="O12" s="274" t="s">
        <v>10</v>
      </c>
      <c r="P12" s="284" t="s">
        <v>201</v>
      </c>
      <c r="Q12" s="272" t="s">
        <v>3</v>
      </c>
      <c r="R12" s="273" t="s">
        <v>18</v>
      </c>
      <c r="S12" s="273" t="s">
        <v>10</v>
      </c>
      <c r="V12" s="272" t="s">
        <v>3</v>
      </c>
      <c r="W12" s="273" t="s">
        <v>3</v>
      </c>
      <c r="X12" s="273" t="s">
        <v>18</v>
      </c>
      <c r="Y12" s="274" t="s">
        <v>10</v>
      </c>
      <c r="Z12" s="284" t="s">
        <v>201</v>
      </c>
      <c r="AA12" s="272" t="s">
        <v>3</v>
      </c>
      <c r="AB12" s="273" t="s">
        <v>18</v>
      </c>
      <c r="AC12" s="273" t="s">
        <v>10</v>
      </c>
      <c r="AF12" s="272" t="s">
        <v>3</v>
      </c>
      <c r="AG12" s="273" t="s">
        <v>3</v>
      </c>
      <c r="AH12" s="273" t="s">
        <v>18</v>
      </c>
      <c r="AI12" s="274" t="s">
        <v>10</v>
      </c>
      <c r="AJ12" s="284" t="s">
        <v>201</v>
      </c>
      <c r="AK12" s="272" t="s">
        <v>3</v>
      </c>
      <c r="AL12" s="273" t="s">
        <v>18</v>
      </c>
      <c r="AM12" s="273" t="s">
        <v>10</v>
      </c>
      <c r="AP12" s="272" t="s">
        <v>3</v>
      </c>
      <c r="AQ12" s="273" t="s">
        <v>3</v>
      </c>
      <c r="AR12" s="273" t="s">
        <v>18</v>
      </c>
      <c r="AS12" s="274" t="s">
        <v>10</v>
      </c>
      <c r="AT12" s="284" t="s">
        <v>201</v>
      </c>
      <c r="AU12" s="272" t="s">
        <v>3</v>
      </c>
      <c r="AV12" s="273" t="s">
        <v>18</v>
      </c>
      <c r="AW12" s="273" t="s">
        <v>10</v>
      </c>
      <c r="AZ12" s="272" t="s">
        <v>3</v>
      </c>
      <c r="BA12" s="273" t="s">
        <v>3</v>
      </c>
      <c r="BB12" s="273" t="s">
        <v>18</v>
      </c>
      <c r="BC12" s="274" t="s">
        <v>10</v>
      </c>
      <c r="BD12" s="284" t="s">
        <v>201</v>
      </c>
      <c r="BE12" s="272" t="s">
        <v>3</v>
      </c>
      <c r="BF12" s="273" t="s">
        <v>18</v>
      </c>
      <c r="BG12" s="273" t="s">
        <v>10</v>
      </c>
      <c r="BJ12" s="272" t="s">
        <v>3</v>
      </c>
      <c r="BK12" s="273" t="s">
        <v>3</v>
      </c>
      <c r="BL12" s="273" t="s">
        <v>18</v>
      </c>
      <c r="BM12" s="274" t="s">
        <v>10</v>
      </c>
      <c r="BN12" s="284" t="s">
        <v>201</v>
      </c>
      <c r="BO12" s="272" t="s">
        <v>3</v>
      </c>
      <c r="BP12" s="273" t="s">
        <v>18</v>
      </c>
      <c r="BQ12" s="273" t="s">
        <v>10</v>
      </c>
      <c r="BT12" s="272" t="s">
        <v>3</v>
      </c>
      <c r="BU12" s="273" t="s">
        <v>3</v>
      </c>
      <c r="BV12" s="273" t="s">
        <v>18</v>
      </c>
      <c r="BW12" s="274" t="s">
        <v>10</v>
      </c>
      <c r="BX12" s="284" t="s">
        <v>201</v>
      </c>
      <c r="BY12" s="272" t="s">
        <v>3</v>
      </c>
      <c r="BZ12" s="273" t="s">
        <v>18</v>
      </c>
      <c r="CA12" s="273" t="s">
        <v>10</v>
      </c>
      <c r="CD12" s="272" t="s">
        <v>3</v>
      </c>
      <c r="CE12" s="273" t="s">
        <v>3</v>
      </c>
      <c r="CF12" s="273" t="s">
        <v>18</v>
      </c>
      <c r="CG12" s="274" t="s">
        <v>10</v>
      </c>
      <c r="CH12" s="284" t="s">
        <v>201</v>
      </c>
      <c r="CI12" s="272" t="s">
        <v>3</v>
      </c>
      <c r="CJ12" s="273" t="s">
        <v>18</v>
      </c>
      <c r="CK12" s="273" t="s">
        <v>10</v>
      </c>
      <c r="CN12" s="272" t="s">
        <v>3</v>
      </c>
      <c r="CO12" s="273" t="s">
        <v>3</v>
      </c>
      <c r="CP12" s="273" t="s">
        <v>18</v>
      </c>
      <c r="CQ12" s="274" t="s">
        <v>10</v>
      </c>
      <c r="CR12" s="284" t="s">
        <v>201</v>
      </c>
      <c r="CS12" s="272" t="s">
        <v>3</v>
      </c>
      <c r="CT12" s="273" t="s">
        <v>18</v>
      </c>
      <c r="CU12" s="273" t="s">
        <v>10</v>
      </c>
      <c r="CX12" s="272" t="s">
        <v>3</v>
      </c>
      <c r="CY12" s="273" t="s">
        <v>3</v>
      </c>
      <c r="CZ12" s="273" t="s">
        <v>18</v>
      </c>
      <c r="DA12" s="274" t="s">
        <v>10</v>
      </c>
      <c r="DB12" s="284" t="s">
        <v>201</v>
      </c>
      <c r="DC12" s="272" t="s">
        <v>3</v>
      </c>
      <c r="DD12" s="273" t="s">
        <v>18</v>
      </c>
      <c r="DE12" s="273" t="s">
        <v>10</v>
      </c>
      <c r="DH12" s="272" t="s">
        <v>3</v>
      </c>
      <c r="DI12" s="273" t="s">
        <v>3</v>
      </c>
      <c r="DJ12" s="273" t="s">
        <v>18</v>
      </c>
      <c r="DK12" s="274" t="s">
        <v>10</v>
      </c>
      <c r="DL12" s="284" t="s">
        <v>201</v>
      </c>
      <c r="DM12" s="272" t="s">
        <v>3</v>
      </c>
      <c r="DN12" s="273" t="s">
        <v>18</v>
      </c>
      <c r="DO12" s="273" t="s">
        <v>10</v>
      </c>
      <c r="DR12" s="272" t="s">
        <v>3</v>
      </c>
      <c r="DS12" s="273" t="s">
        <v>3</v>
      </c>
      <c r="DT12" s="273" t="s">
        <v>18</v>
      </c>
      <c r="DU12" s="274" t="s">
        <v>10</v>
      </c>
      <c r="DV12" s="284" t="s">
        <v>201</v>
      </c>
      <c r="DW12" s="272" t="s">
        <v>3</v>
      </c>
      <c r="DX12" s="273" t="s">
        <v>18</v>
      </c>
      <c r="DY12" s="273" t="s">
        <v>10</v>
      </c>
    </row>
    <row r="13" spans="2:129" ht="13.5" thickBot="1">
      <c r="B13" s="275" t="s">
        <v>110</v>
      </c>
      <c r="C13" s="299" t="s">
        <v>67</v>
      </c>
      <c r="D13" s="276"/>
      <c r="E13" s="277"/>
      <c r="F13" s="278"/>
      <c r="G13" s="345" t="s">
        <v>67</v>
      </c>
      <c r="H13" s="279"/>
      <c r="I13" s="280"/>
      <c r="L13" s="275" t="s">
        <v>113</v>
      </c>
      <c r="M13" s="299" t="s">
        <v>67</v>
      </c>
      <c r="N13" s="276"/>
      <c r="O13" s="277"/>
      <c r="P13" s="278"/>
      <c r="Q13" s="345" t="s">
        <v>67</v>
      </c>
      <c r="R13" s="279"/>
      <c r="S13" s="280"/>
      <c r="V13" s="275" t="s">
        <v>114</v>
      </c>
      <c r="W13" s="299" t="s">
        <v>67</v>
      </c>
      <c r="X13" s="276"/>
      <c r="Y13" s="277"/>
      <c r="Z13" s="278"/>
      <c r="AA13" s="345" t="s">
        <v>67</v>
      </c>
      <c r="AB13" s="279"/>
      <c r="AC13" s="280"/>
      <c r="AF13" s="275" t="s">
        <v>115</v>
      </c>
      <c r="AG13" s="299" t="s">
        <v>67</v>
      </c>
      <c r="AH13" s="276"/>
      <c r="AI13" s="277"/>
      <c r="AJ13" s="278"/>
      <c r="AK13" s="345" t="s">
        <v>67</v>
      </c>
      <c r="AL13" s="279"/>
      <c r="AM13" s="280"/>
      <c r="AP13" s="275" t="s">
        <v>116</v>
      </c>
      <c r="AQ13" s="299" t="s">
        <v>67</v>
      </c>
      <c r="AR13" s="276"/>
      <c r="AS13" s="277"/>
      <c r="AT13" s="278"/>
      <c r="AU13" s="345" t="s">
        <v>67</v>
      </c>
      <c r="AV13" s="279"/>
      <c r="AW13" s="280"/>
      <c r="AZ13" s="275" t="s">
        <v>117</v>
      </c>
      <c r="BA13" s="299" t="s">
        <v>67</v>
      </c>
      <c r="BB13" s="276"/>
      <c r="BC13" s="277"/>
      <c r="BD13" s="278"/>
      <c r="BE13" s="345" t="s">
        <v>67</v>
      </c>
      <c r="BF13" s="279"/>
      <c r="BG13" s="280"/>
      <c r="BJ13" s="275" t="s">
        <v>118</v>
      </c>
      <c r="BK13" s="427" t="s">
        <v>67</v>
      </c>
      <c r="BL13" s="276"/>
      <c r="BM13" s="277"/>
      <c r="BN13" s="278"/>
      <c r="BO13" s="345" t="s">
        <v>67</v>
      </c>
      <c r="BP13" s="279"/>
      <c r="BQ13" s="280"/>
      <c r="BT13" s="275" t="s">
        <v>119</v>
      </c>
      <c r="BU13" s="427" t="s">
        <v>67</v>
      </c>
      <c r="BV13" s="276"/>
      <c r="BW13" s="277"/>
      <c r="BX13" s="278"/>
      <c r="BY13" s="345" t="s">
        <v>67</v>
      </c>
      <c r="BZ13" s="279"/>
      <c r="CA13" s="280"/>
      <c r="CD13" s="275" t="s">
        <v>120</v>
      </c>
      <c r="CE13" s="299" t="s">
        <v>67</v>
      </c>
      <c r="CF13" s="276"/>
      <c r="CG13" s="277"/>
      <c r="CH13" s="278"/>
      <c r="CI13" s="345" t="s">
        <v>67</v>
      </c>
      <c r="CJ13" s="279"/>
      <c r="CK13" s="280"/>
      <c r="CN13" s="275" t="s">
        <v>121</v>
      </c>
      <c r="CO13" s="299" t="s">
        <v>67</v>
      </c>
      <c r="CP13" s="276"/>
      <c r="CQ13" s="277"/>
      <c r="CR13" s="278"/>
      <c r="CS13" s="345" t="s">
        <v>67</v>
      </c>
      <c r="CT13" s="279"/>
      <c r="CU13" s="280"/>
      <c r="CX13" s="275" t="s">
        <v>122</v>
      </c>
      <c r="CY13" s="299" t="s">
        <v>67</v>
      </c>
      <c r="CZ13" s="276"/>
      <c r="DA13" s="277"/>
      <c r="DB13" s="278"/>
      <c r="DC13" s="345" t="s">
        <v>67</v>
      </c>
      <c r="DD13" s="279"/>
      <c r="DE13" s="280"/>
      <c r="DH13" s="275" t="s">
        <v>123</v>
      </c>
      <c r="DI13" s="299" t="s">
        <v>67</v>
      </c>
      <c r="DJ13" s="276"/>
      <c r="DK13" s="277"/>
      <c r="DL13" s="278"/>
      <c r="DM13" s="345" t="s">
        <v>67</v>
      </c>
      <c r="DN13" s="279"/>
      <c r="DO13" s="280"/>
      <c r="DR13" s="275" t="s">
        <v>1</v>
      </c>
      <c r="DS13" s="276" t="s">
        <v>5</v>
      </c>
      <c r="DT13" s="276"/>
      <c r="DU13" s="277"/>
      <c r="DV13" s="278"/>
      <c r="DW13" s="345" t="s">
        <v>67</v>
      </c>
      <c r="DX13" s="279"/>
      <c r="DY13" s="280"/>
    </row>
    <row r="14" spans="1:129" ht="13.5" thickBot="1">
      <c r="A14" s="281" t="s">
        <v>24</v>
      </c>
      <c r="B14" s="81">
        <v>12938</v>
      </c>
      <c r="C14" s="82">
        <v>11000</v>
      </c>
      <c r="D14" s="82">
        <f>C14-B14</f>
        <v>-1938</v>
      </c>
      <c r="E14" s="83">
        <f>D14/C14</f>
        <v>-0.1761818181818182</v>
      </c>
      <c r="F14" s="84">
        <f>SUM(B14)</f>
        <v>12938</v>
      </c>
      <c r="G14" s="285">
        <f>SUM(C14)</f>
        <v>11000</v>
      </c>
      <c r="H14" s="85">
        <f>G14-F14</f>
        <v>-1938</v>
      </c>
      <c r="I14" s="86">
        <f>H14/G14</f>
        <v>-0.1761818181818182</v>
      </c>
      <c r="K14" s="281" t="s">
        <v>24</v>
      </c>
      <c r="L14" s="81">
        <v>10209</v>
      </c>
      <c r="M14" s="82">
        <v>11076</v>
      </c>
      <c r="N14" s="82">
        <f>M14-L14</f>
        <v>867</v>
      </c>
      <c r="O14" s="83">
        <f>N14/M14</f>
        <v>0.07827735644637053</v>
      </c>
      <c r="P14" s="123">
        <f>SUM(F14+L14)</f>
        <v>23147</v>
      </c>
      <c r="Q14" s="285">
        <f>SUM(G14+M14)</f>
        <v>22076</v>
      </c>
      <c r="R14" s="286">
        <f>Q14-P14</f>
        <v>-1071</v>
      </c>
      <c r="S14" s="86">
        <f>R14/Q14</f>
        <v>-0.048514223591230296</v>
      </c>
      <c r="U14" s="281" t="s">
        <v>24</v>
      </c>
      <c r="V14" s="81">
        <v>10534</v>
      </c>
      <c r="W14" s="82">
        <v>10730</v>
      </c>
      <c r="X14" s="82">
        <f>W14-V14</f>
        <v>196</v>
      </c>
      <c r="Y14" s="83">
        <f>X14/W14</f>
        <v>0.018266542404473438</v>
      </c>
      <c r="Z14" s="84">
        <f>SUM(P14+V14)</f>
        <v>33681</v>
      </c>
      <c r="AA14" s="285">
        <f>SUM(Q14+W14)</f>
        <v>32806</v>
      </c>
      <c r="AB14" s="85">
        <f>AA14-Z14</f>
        <v>-875</v>
      </c>
      <c r="AC14" s="86">
        <f>AB14/AA14</f>
        <v>-0.0266719502530025</v>
      </c>
      <c r="AE14" s="281" t="s">
        <v>24</v>
      </c>
      <c r="AF14" s="81">
        <v>9639</v>
      </c>
      <c r="AG14" s="82">
        <v>10662</v>
      </c>
      <c r="AH14" s="82">
        <f>AG14-AF14</f>
        <v>1023</v>
      </c>
      <c r="AI14" s="83">
        <f>AH14/AG14</f>
        <v>0.09594822734946538</v>
      </c>
      <c r="AJ14" s="84">
        <f>SUM(Z14+AF14)</f>
        <v>43320</v>
      </c>
      <c r="AK14" s="285">
        <f>SUM(AA14+AG14)</f>
        <v>43468</v>
      </c>
      <c r="AL14" s="85">
        <f>AK14-AJ14</f>
        <v>148</v>
      </c>
      <c r="AM14" s="86">
        <f>AL14/AK14</f>
        <v>0.0034048035336339375</v>
      </c>
      <c r="AO14" s="281" t="s">
        <v>24</v>
      </c>
      <c r="AP14" s="81">
        <v>10097</v>
      </c>
      <c r="AQ14" s="82">
        <v>10381</v>
      </c>
      <c r="AR14" s="82">
        <f>AQ14-AP14</f>
        <v>284</v>
      </c>
      <c r="AS14" s="83">
        <f>AR14/AQ14</f>
        <v>0.02735767267122628</v>
      </c>
      <c r="AT14" s="84">
        <f>SUM(AJ14+AP14)</f>
        <v>53417</v>
      </c>
      <c r="AU14" s="285">
        <f>SUM(AK14+AQ14)</f>
        <v>53849</v>
      </c>
      <c r="AV14" s="85">
        <f>AU14-AT14</f>
        <v>432</v>
      </c>
      <c r="AW14" s="86">
        <f>AV14/AU14</f>
        <v>0.008022433099964716</v>
      </c>
      <c r="AY14" s="281" t="s">
        <v>24</v>
      </c>
      <c r="AZ14" s="81">
        <v>9207</v>
      </c>
      <c r="BA14" s="82">
        <v>10107</v>
      </c>
      <c r="BB14" s="82">
        <f>BA14-AZ14</f>
        <v>900</v>
      </c>
      <c r="BC14" s="83">
        <f>BB14/BA14</f>
        <v>0.08904719501335707</v>
      </c>
      <c r="BD14" s="84">
        <f>SUM(AT14+AZ14)</f>
        <v>62624</v>
      </c>
      <c r="BE14" s="285">
        <f>SUM(AU14+BA14)</f>
        <v>63956</v>
      </c>
      <c r="BF14" s="85">
        <f>BE14-BD14</f>
        <v>1332</v>
      </c>
      <c r="BG14" s="86">
        <f>BF14/BE14</f>
        <v>0.020826818437675903</v>
      </c>
      <c r="BI14" s="281" t="s">
        <v>24</v>
      </c>
      <c r="BJ14" s="81">
        <v>9748</v>
      </c>
      <c r="BK14" s="81">
        <v>9592</v>
      </c>
      <c r="BL14" s="82">
        <f>BK14-BJ14</f>
        <v>-156</v>
      </c>
      <c r="BM14" s="83">
        <f>BL14/BK14</f>
        <v>-0.01626355296080067</v>
      </c>
      <c r="BN14" s="84">
        <f>SUM(BD14+BJ14)</f>
        <v>72372</v>
      </c>
      <c r="BO14" s="285">
        <f>SUM(BE14+BK14)</f>
        <v>73548</v>
      </c>
      <c r="BP14" s="85">
        <f>BO14-BN14</f>
        <v>1176</v>
      </c>
      <c r="BQ14" s="86">
        <f>BP14/BO14</f>
        <v>0.015989557839778103</v>
      </c>
      <c r="BS14" s="281" t="s">
        <v>24</v>
      </c>
      <c r="BT14" s="81">
        <v>10880</v>
      </c>
      <c r="BU14" s="81">
        <v>9868</v>
      </c>
      <c r="BV14" s="82">
        <f>BU14-BT14</f>
        <v>-1012</v>
      </c>
      <c r="BW14" s="83">
        <f>BV14/BU14</f>
        <v>-0.10255370895824889</v>
      </c>
      <c r="BX14" s="84">
        <f>SUM(BN14+BT14)</f>
        <v>83252</v>
      </c>
      <c r="BY14" s="285">
        <f>SUM(BO14+BU14)</f>
        <v>83416</v>
      </c>
      <c r="BZ14" s="85">
        <f>BY14-BX14</f>
        <v>164</v>
      </c>
      <c r="CA14" s="86">
        <f>BZ14/BY14</f>
        <v>0.001966049678718711</v>
      </c>
      <c r="CC14" s="281" t="s">
        <v>24</v>
      </c>
      <c r="CD14" s="81">
        <v>10148</v>
      </c>
      <c r="CE14" s="82">
        <v>9836</v>
      </c>
      <c r="CF14" s="82">
        <f>CE14-CD14</f>
        <v>-312</v>
      </c>
      <c r="CG14" s="83">
        <f>CF14/CE14</f>
        <v>-0.03172021146807645</v>
      </c>
      <c r="CH14" s="84">
        <f>SUM(BX14+CD14)</f>
        <v>93400</v>
      </c>
      <c r="CI14" s="285">
        <f>SUM(BY14+CE14)</f>
        <v>93252</v>
      </c>
      <c r="CJ14" s="85">
        <f>CI14-CH14</f>
        <v>-148</v>
      </c>
      <c r="CK14" s="86">
        <f>CJ14/CI14</f>
        <v>-0.0015870973276712564</v>
      </c>
      <c r="CM14" s="281" t="s">
        <v>24</v>
      </c>
      <c r="CN14" s="81">
        <v>11120</v>
      </c>
      <c r="CO14" s="81">
        <v>10235</v>
      </c>
      <c r="CP14" s="82">
        <f>CO14-CN14</f>
        <v>-885</v>
      </c>
      <c r="CQ14" s="83">
        <f>CP14/CO14</f>
        <v>-0.08646800195407914</v>
      </c>
      <c r="CR14" s="84">
        <f>SUM(CH14+CN14)</f>
        <v>104520</v>
      </c>
      <c r="CS14" s="285">
        <f>SUM(CI14+CO14)</f>
        <v>103487</v>
      </c>
      <c r="CT14" s="85">
        <f>CS14-CR14</f>
        <v>-1033</v>
      </c>
      <c r="CU14" s="86">
        <f>CT14/CS14</f>
        <v>-0.00998193009750017</v>
      </c>
      <c r="CW14" s="281" t="s">
        <v>24</v>
      </c>
      <c r="CX14" s="81">
        <v>10893</v>
      </c>
      <c r="CY14" s="82">
        <v>10425</v>
      </c>
      <c r="CZ14" s="82">
        <f>CY14-CX14</f>
        <v>-468</v>
      </c>
      <c r="DA14" s="83">
        <f>CZ14/CY14</f>
        <v>-0.04489208633093525</v>
      </c>
      <c r="DB14" s="84">
        <f>SUM(CR14+CX14)</f>
        <v>115413</v>
      </c>
      <c r="DC14" s="285">
        <f>SUM(CS14+CY14)</f>
        <v>113912</v>
      </c>
      <c r="DD14" s="85">
        <f>DC14-DB14</f>
        <v>-1501</v>
      </c>
      <c r="DE14" s="86">
        <f>DD14/DC14</f>
        <v>-0.013176838261113842</v>
      </c>
      <c r="DG14" s="281" t="s">
        <v>24</v>
      </c>
      <c r="DH14" s="81">
        <v>9240</v>
      </c>
      <c r="DI14" s="82">
        <v>10664</v>
      </c>
      <c r="DJ14" s="82">
        <f>DI14-DH14</f>
        <v>1424</v>
      </c>
      <c r="DK14" s="83">
        <f>DJ14/DI14</f>
        <v>0.13353338334583645</v>
      </c>
      <c r="DL14" s="84">
        <f>SUM(DB14+DH14)</f>
        <v>124653</v>
      </c>
      <c r="DM14" s="285">
        <f>SUM(DC14+DI14)</f>
        <v>124576</v>
      </c>
      <c r="DN14" s="85">
        <f>DM14-DL14</f>
        <v>-77</v>
      </c>
      <c r="DO14" s="86">
        <f>DN14/DM14</f>
        <v>-0.0006180965836116106</v>
      </c>
      <c r="DQ14" s="281" t="s">
        <v>24</v>
      </c>
      <c r="DR14" s="81">
        <v>9821</v>
      </c>
      <c r="DS14" s="82">
        <v>7675</v>
      </c>
      <c r="DT14" s="82">
        <f>DS14-DR14</f>
        <v>-2146</v>
      </c>
      <c r="DU14" s="83">
        <f>DT14/DS14</f>
        <v>-0.27960912052117265</v>
      </c>
      <c r="DV14" s="84">
        <f>SUM(DL14+DR14)</f>
        <v>134474</v>
      </c>
      <c r="DW14" s="285">
        <f>SUM(DM14+DS14)</f>
        <v>132251</v>
      </c>
      <c r="DX14" s="85">
        <f>DW14-DV14</f>
        <v>-2223</v>
      </c>
      <c r="DY14" s="86">
        <f>DX14/DW14</f>
        <v>-0.016808946624222124</v>
      </c>
    </row>
    <row r="15" spans="1:129" ht="13.5" thickBot="1">
      <c r="A15" s="269" t="s">
        <v>150</v>
      </c>
      <c r="B15" s="335">
        <v>85410.94</v>
      </c>
      <c r="C15" s="337">
        <v>76186</v>
      </c>
      <c r="D15" s="75">
        <f>C15-B15</f>
        <v>-9224.940000000002</v>
      </c>
      <c r="E15" s="76">
        <f>D15/C15</f>
        <v>-0.12108445121150871</v>
      </c>
      <c r="F15" s="75">
        <f>SUM(B15)</f>
        <v>85410.94</v>
      </c>
      <c r="G15" s="75">
        <f>SUM(C15)</f>
        <v>76186</v>
      </c>
      <c r="H15" s="87">
        <f>G15-F15</f>
        <v>-9224.940000000002</v>
      </c>
      <c r="I15" s="73">
        <f>H15/G15</f>
        <v>-0.12108445121150871</v>
      </c>
      <c r="K15" s="269" t="s">
        <v>150</v>
      </c>
      <c r="L15" s="74">
        <v>71046.65</v>
      </c>
      <c r="M15" s="337">
        <v>60628</v>
      </c>
      <c r="N15" s="75">
        <f>M15-L15</f>
        <v>-10418.649999999994</v>
      </c>
      <c r="O15" s="76">
        <f>N15/M15</f>
        <v>-0.17184551692287384</v>
      </c>
      <c r="P15" s="82">
        <f>SUM(F15+L15)</f>
        <v>156457.59</v>
      </c>
      <c r="Q15" s="287">
        <f>SUM(G15+M15)</f>
        <v>136814</v>
      </c>
      <c r="R15" s="87">
        <f>Q15-P15</f>
        <v>-19643.589999999997</v>
      </c>
      <c r="S15" s="73">
        <f>R15/Q15</f>
        <v>-0.14357880041516216</v>
      </c>
      <c r="U15" s="269" t="s">
        <v>150</v>
      </c>
      <c r="V15" s="74">
        <v>75487.47</v>
      </c>
      <c r="W15" s="337">
        <v>52423</v>
      </c>
      <c r="X15" s="75">
        <f>W15-V15</f>
        <v>-23064.47</v>
      </c>
      <c r="Y15" s="76">
        <f>X15/W15</f>
        <v>-0.4399685252656277</v>
      </c>
      <c r="Z15" s="84">
        <f>SUM(P15+V15)</f>
        <v>231945.06</v>
      </c>
      <c r="AA15" s="285">
        <f>SUM(Q15+W15)</f>
        <v>189237</v>
      </c>
      <c r="AB15" s="87">
        <f>AA15-Z15</f>
        <v>-42708.06</v>
      </c>
      <c r="AC15" s="73">
        <f>AB15/AA15</f>
        <v>-0.22568556888980484</v>
      </c>
      <c r="AE15" s="269" t="s">
        <v>150</v>
      </c>
      <c r="AF15" s="335">
        <v>64309.34</v>
      </c>
      <c r="AG15" s="75">
        <v>73313</v>
      </c>
      <c r="AH15" s="75">
        <f>AG15-AF15</f>
        <v>9003.660000000003</v>
      </c>
      <c r="AI15" s="76">
        <f>AH15/AG15</f>
        <v>0.12281123402397942</v>
      </c>
      <c r="AJ15" s="84">
        <f>SUM(Z15+AF15)</f>
        <v>296254.4</v>
      </c>
      <c r="AK15" s="285">
        <f>SUM(AA15+AG15)</f>
        <v>262550</v>
      </c>
      <c r="AL15" s="87">
        <f>AK15-AJ15</f>
        <v>-33704.40000000002</v>
      </c>
      <c r="AM15" s="73">
        <f>AL15/AK15</f>
        <v>-0.1283732622357647</v>
      </c>
      <c r="AO15" s="269" t="s">
        <v>150</v>
      </c>
      <c r="AP15" s="335">
        <v>65286.31</v>
      </c>
      <c r="AQ15" s="75">
        <v>77303</v>
      </c>
      <c r="AR15" s="75">
        <f>AQ15-AP15</f>
        <v>12016.690000000002</v>
      </c>
      <c r="AS15" s="76">
        <f>AR15/AQ15</f>
        <v>0.15544920636973988</v>
      </c>
      <c r="AT15" s="84">
        <f>SUM(AJ15+AP15)</f>
        <v>361540.71</v>
      </c>
      <c r="AU15" s="285">
        <f>SUM(AK15+AQ15)</f>
        <v>339853</v>
      </c>
      <c r="AV15" s="87">
        <f>AU15-AT15</f>
        <v>-21687.71000000002</v>
      </c>
      <c r="AW15" s="73">
        <f>AV15/AU15</f>
        <v>-0.06381497294418476</v>
      </c>
      <c r="AY15" s="269" t="s">
        <v>150</v>
      </c>
      <c r="AZ15" s="74">
        <v>113482</v>
      </c>
      <c r="BA15" s="75">
        <v>66913</v>
      </c>
      <c r="BB15" s="75">
        <f>BA15-AZ15</f>
        <v>-46569</v>
      </c>
      <c r="BC15" s="76">
        <f>BB15/BA15</f>
        <v>-0.6959634151809065</v>
      </c>
      <c r="BD15" s="84">
        <f>SUM(AT15+AZ15)</f>
        <v>475022.71</v>
      </c>
      <c r="BE15" s="285">
        <f>SUM(AU15+BA15)</f>
        <v>406766</v>
      </c>
      <c r="BF15" s="87">
        <f>BE15-BD15</f>
        <v>-68256.71000000002</v>
      </c>
      <c r="BG15" s="73">
        <f>BF15/BE15</f>
        <v>-0.16780338081353904</v>
      </c>
      <c r="BI15" s="269" t="s">
        <v>150</v>
      </c>
      <c r="BJ15" s="74">
        <v>65993.29</v>
      </c>
      <c r="BK15" s="74">
        <v>54232.03</v>
      </c>
      <c r="BL15" s="75">
        <f>BK15-BJ15</f>
        <v>-11761.259999999995</v>
      </c>
      <c r="BM15" s="76">
        <f>BL15/BK15</f>
        <v>-0.21686925604665722</v>
      </c>
      <c r="BN15" s="84">
        <f>SUM(BD15+BJ15)</f>
        <v>541016</v>
      </c>
      <c r="BO15" s="285">
        <f>SUM(BE15+BK15)</f>
        <v>460998.03</v>
      </c>
      <c r="BP15" s="87">
        <f>BO15-BN15</f>
        <v>-80017.96999999997</v>
      </c>
      <c r="BQ15" s="73">
        <f>BP15/BO15</f>
        <v>-0.17357551397779286</v>
      </c>
      <c r="BS15" s="269" t="s">
        <v>150</v>
      </c>
      <c r="BT15" s="74">
        <v>87353.91</v>
      </c>
      <c r="BU15" s="74">
        <v>58889.85</v>
      </c>
      <c r="BV15" s="75">
        <f>BU15-BT15</f>
        <v>-28464.060000000005</v>
      </c>
      <c r="BW15" s="76">
        <f>BV15/BU15</f>
        <v>-0.4833440737240799</v>
      </c>
      <c r="BX15" s="84">
        <f>SUM(BN15+BT15)</f>
        <v>628369.91</v>
      </c>
      <c r="BY15" s="285">
        <f>SUM(BO15+BU15)</f>
        <v>519887.88</v>
      </c>
      <c r="BZ15" s="87">
        <f>BY15-BX15</f>
        <v>-108482.03000000003</v>
      </c>
      <c r="CA15" s="73">
        <f>BZ15/BY15</f>
        <v>-0.20866427969045948</v>
      </c>
      <c r="CC15" s="269" t="s">
        <v>150</v>
      </c>
      <c r="CD15" s="74">
        <v>75968.05</v>
      </c>
      <c r="CE15" s="75">
        <v>54293.82</v>
      </c>
      <c r="CF15" s="75">
        <f>CE15-CD15</f>
        <v>-21674.230000000003</v>
      </c>
      <c r="CG15" s="76">
        <f>CF15/CE15</f>
        <v>-0.3992025243388659</v>
      </c>
      <c r="CH15" s="84">
        <f>SUM(BX15+CD15)</f>
        <v>704337.9600000001</v>
      </c>
      <c r="CI15" s="285">
        <f>SUM(BY15+CE15)</f>
        <v>574181.7</v>
      </c>
      <c r="CJ15" s="87">
        <f>CI15-CH15</f>
        <v>-130156.26000000013</v>
      </c>
      <c r="CK15" s="73">
        <f>CJ15/CI15</f>
        <v>-0.2266813101148994</v>
      </c>
      <c r="CM15" s="269" t="s">
        <v>150</v>
      </c>
      <c r="CN15" s="74">
        <v>75204.94</v>
      </c>
      <c r="CO15" s="74">
        <v>67395.06</v>
      </c>
      <c r="CP15" s="75">
        <f>CO15-CN15</f>
        <v>-7809.880000000005</v>
      </c>
      <c r="CQ15" s="76">
        <f>CP15/CO15</f>
        <v>-0.11588208393908997</v>
      </c>
      <c r="CR15" s="84">
        <f>SUM(CH15+CN15)</f>
        <v>779542.9000000001</v>
      </c>
      <c r="CS15" s="285">
        <f>SUM(CI15+CO15)</f>
        <v>641576.76</v>
      </c>
      <c r="CT15" s="87">
        <f>CS15-CR15</f>
        <v>-137966.14000000013</v>
      </c>
      <c r="CU15" s="73">
        <f>CT15/CS15</f>
        <v>-0.21504229673157133</v>
      </c>
      <c r="CW15" s="269" t="s">
        <v>150</v>
      </c>
      <c r="CX15" s="74">
        <v>88900.1</v>
      </c>
      <c r="CY15" s="75">
        <v>72596</v>
      </c>
      <c r="CZ15" s="75">
        <f>CY15-CX15</f>
        <v>-16304.100000000006</v>
      </c>
      <c r="DA15" s="76">
        <f>CZ15/CY15</f>
        <v>-0.22458675409113457</v>
      </c>
      <c r="DB15" s="84">
        <f>SUM(CR15+CX15)</f>
        <v>868443.0000000001</v>
      </c>
      <c r="DC15" s="285">
        <f>SUM(CS15+CY15)</f>
        <v>714172.76</v>
      </c>
      <c r="DD15" s="87">
        <f>DC15-DB15</f>
        <v>-154270.2400000001</v>
      </c>
      <c r="DE15" s="73">
        <f>DD15/DC15</f>
        <v>-0.21601249535196512</v>
      </c>
      <c r="DG15" s="269" t="s">
        <v>150</v>
      </c>
      <c r="DH15" s="335">
        <v>78975.57</v>
      </c>
      <c r="DI15" s="336">
        <v>76092</v>
      </c>
      <c r="DJ15" s="336">
        <f>DI15-DH15</f>
        <v>-2883.570000000007</v>
      </c>
      <c r="DK15" s="76">
        <f>DJ15/DI15</f>
        <v>-0.03789583661882993</v>
      </c>
      <c r="DL15" s="85">
        <f>SUM(DB15+DH15)</f>
        <v>947418.5700000001</v>
      </c>
      <c r="DM15" s="305">
        <f>SUM(DC15+DI15)</f>
        <v>790264.76</v>
      </c>
      <c r="DN15" s="87">
        <f>DM15-DL15</f>
        <v>-157153.81000000006</v>
      </c>
      <c r="DO15" s="73">
        <f>DN15/DM15</f>
        <v>-0.19886222688203894</v>
      </c>
      <c r="DQ15" s="269" t="s">
        <v>150</v>
      </c>
      <c r="DR15" s="74">
        <v>63084.94</v>
      </c>
      <c r="DS15" s="75">
        <v>50669</v>
      </c>
      <c r="DT15" s="75">
        <f>DS15-DR15</f>
        <v>-12415.940000000002</v>
      </c>
      <c r="DU15" s="76">
        <f>DT15/DS15</f>
        <v>-0.24504016262408973</v>
      </c>
      <c r="DV15" s="85">
        <f>SUM(DL15+DR15)</f>
        <v>1010503.51</v>
      </c>
      <c r="DW15" s="285">
        <f>SUM(DM15+DS15)</f>
        <v>840933.76</v>
      </c>
      <c r="DX15" s="87">
        <f>DW15-DV15</f>
        <v>-169569.75</v>
      </c>
      <c r="DY15" s="73">
        <f>DX15/DW15</f>
        <v>-0.20164459802398704</v>
      </c>
    </row>
    <row r="16" spans="2:129" ht="13.5" thickBot="1">
      <c r="B16" s="89"/>
      <c r="C16" s="4"/>
      <c r="D16" s="89"/>
      <c r="E16" s="78"/>
      <c r="F16" s="89"/>
      <c r="G16" s="89"/>
      <c r="H16" s="90"/>
      <c r="I16" s="90"/>
      <c r="L16" s="89"/>
      <c r="M16" s="89"/>
      <c r="N16" s="89"/>
      <c r="O16" s="78"/>
      <c r="P16" s="89"/>
      <c r="Q16" s="89"/>
      <c r="R16" s="90"/>
      <c r="S16" s="90"/>
      <c r="V16" s="89"/>
      <c r="W16" s="4"/>
      <c r="X16" s="89"/>
      <c r="Y16" s="78"/>
      <c r="Z16" s="89"/>
      <c r="AA16" s="89"/>
      <c r="AB16" s="90"/>
      <c r="AC16" s="90"/>
      <c r="AF16" s="89"/>
      <c r="AG16" s="89"/>
      <c r="AH16" s="89"/>
      <c r="AI16" s="78"/>
      <c r="AJ16" s="89"/>
      <c r="AK16" s="89"/>
      <c r="AL16" s="90"/>
      <c r="AM16" s="90"/>
      <c r="AP16" s="89"/>
      <c r="AQ16" s="89"/>
      <c r="AR16" s="89"/>
      <c r="AS16" s="78"/>
      <c r="AT16" s="89"/>
      <c r="AU16" s="89"/>
      <c r="AV16" s="90"/>
      <c r="AW16" s="90"/>
      <c r="AZ16" s="89"/>
      <c r="BA16" s="89"/>
      <c r="BB16" s="89"/>
      <c r="BC16" s="78"/>
      <c r="BD16" s="89"/>
      <c r="BE16" s="89"/>
      <c r="BF16" s="90"/>
      <c r="BG16" s="90"/>
      <c r="BJ16" s="89"/>
      <c r="BK16" s="89"/>
      <c r="BL16" s="89"/>
      <c r="BM16" s="78"/>
      <c r="BN16" s="89"/>
      <c r="BO16" s="89"/>
      <c r="BP16" s="90"/>
      <c r="BQ16" s="90"/>
      <c r="BT16" s="89"/>
      <c r="BU16" s="89"/>
      <c r="BV16" s="89"/>
      <c r="BW16" s="78"/>
      <c r="BX16" s="89"/>
      <c r="BY16" s="89"/>
      <c r="BZ16" s="90"/>
      <c r="CA16" s="90"/>
      <c r="CD16" s="89"/>
      <c r="CE16" s="89"/>
      <c r="CF16" s="89"/>
      <c r="CG16" s="78"/>
      <c r="CH16" s="89"/>
      <c r="CI16" s="89"/>
      <c r="CJ16" s="90"/>
      <c r="CK16" s="90"/>
      <c r="CN16" s="89"/>
      <c r="CO16" s="89"/>
      <c r="CP16" s="89"/>
      <c r="CQ16" s="78"/>
      <c r="CR16" s="89"/>
      <c r="CS16" s="89"/>
      <c r="CT16" s="90"/>
      <c r="CU16" s="90"/>
      <c r="CX16" s="89"/>
      <c r="CY16" s="89"/>
      <c r="CZ16" s="89"/>
      <c r="DA16" s="78"/>
      <c r="DB16" s="89"/>
      <c r="DC16" s="89"/>
      <c r="DD16" s="90"/>
      <c r="DE16" s="90"/>
      <c r="DH16" s="89"/>
      <c r="DI16" s="89"/>
      <c r="DJ16" s="89"/>
      <c r="DK16" s="78"/>
      <c r="DL16" s="89"/>
      <c r="DM16" s="89"/>
      <c r="DN16" s="90"/>
      <c r="DO16" s="90"/>
      <c r="DR16" s="89"/>
      <c r="DS16" s="89"/>
      <c r="DT16" s="89"/>
      <c r="DU16" s="78"/>
      <c r="DV16" s="89"/>
      <c r="DW16" s="89"/>
      <c r="DX16" s="90"/>
      <c r="DY16" s="90"/>
    </row>
    <row r="17" spans="1:129" ht="13.5" thickBot="1">
      <c r="A17" s="271" t="s">
        <v>27</v>
      </c>
      <c r="B17" s="123">
        <v>5221</v>
      </c>
      <c r="C17" s="84">
        <v>5583</v>
      </c>
      <c r="D17" s="84">
        <f>C17-B17</f>
        <v>362</v>
      </c>
      <c r="E17" s="288">
        <f>D17/C17</f>
        <v>0.06483969192190578</v>
      </c>
      <c r="F17" s="84">
        <f aca="true" t="shared" si="0" ref="F17:G19">SUM(B17)</f>
        <v>5221</v>
      </c>
      <c r="G17" s="123">
        <f t="shared" si="0"/>
        <v>5583</v>
      </c>
      <c r="H17" s="84">
        <f>G17-F17</f>
        <v>362</v>
      </c>
      <c r="I17" s="289">
        <f>H17/G17</f>
        <v>0.06483969192190578</v>
      </c>
      <c r="K17" s="271" t="s">
        <v>27</v>
      </c>
      <c r="L17" s="123">
        <v>4402</v>
      </c>
      <c r="M17" s="84">
        <v>4278</v>
      </c>
      <c r="N17" s="84">
        <f>M17-L17</f>
        <v>-124</v>
      </c>
      <c r="O17" s="288">
        <f>N17/M17</f>
        <v>-0.028985507246376812</v>
      </c>
      <c r="P17" s="123">
        <f>SUM(F17+L17)</f>
        <v>9623</v>
      </c>
      <c r="Q17" s="285">
        <f>SUM(G17+M17)</f>
        <v>9861</v>
      </c>
      <c r="R17" s="153">
        <f>Q17-P17</f>
        <v>238</v>
      </c>
      <c r="S17" s="289">
        <f>R17/Q17</f>
        <v>0.0241354832167123</v>
      </c>
      <c r="U17" s="271" t="s">
        <v>27</v>
      </c>
      <c r="V17" s="123">
        <v>4230</v>
      </c>
      <c r="W17" s="84">
        <v>4610</v>
      </c>
      <c r="X17" s="84">
        <f>W17-V17</f>
        <v>380</v>
      </c>
      <c r="Y17" s="289">
        <f>X17/W17</f>
        <v>0.0824295010845987</v>
      </c>
      <c r="Z17" s="84">
        <f>SUM(P17+V17)</f>
        <v>13853</v>
      </c>
      <c r="AA17" s="285">
        <f>SUM(Q17+W17)</f>
        <v>14471</v>
      </c>
      <c r="AB17" s="84">
        <f>AA17-Z17</f>
        <v>618</v>
      </c>
      <c r="AC17" s="289">
        <f>AB17/AA17</f>
        <v>0.04270610185889019</v>
      </c>
      <c r="AE17" s="271" t="s">
        <v>27</v>
      </c>
      <c r="AF17" s="123">
        <v>4269</v>
      </c>
      <c r="AG17" s="84">
        <v>4448</v>
      </c>
      <c r="AH17" s="84">
        <f>AG17-AF17</f>
        <v>179</v>
      </c>
      <c r="AI17" s="289">
        <f>AH17/AG17</f>
        <v>0.04024280575539568</v>
      </c>
      <c r="AJ17" s="84">
        <f>SUM(Z17+AF17)</f>
        <v>18122</v>
      </c>
      <c r="AK17" s="285">
        <f>SUM(AA17+AG17)</f>
        <v>18919</v>
      </c>
      <c r="AL17" s="84">
        <f>AK17-AJ17</f>
        <v>797</v>
      </c>
      <c r="AM17" s="289">
        <f>AL17/AK17</f>
        <v>0.04212696231301866</v>
      </c>
      <c r="AO17" s="271" t="s">
        <v>27</v>
      </c>
      <c r="AP17" s="123">
        <v>4410</v>
      </c>
      <c r="AQ17" s="84">
        <v>4483</v>
      </c>
      <c r="AR17" s="84">
        <f>AQ17-AP17</f>
        <v>73</v>
      </c>
      <c r="AS17" s="289">
        <f>AR17/AQ17</f>
        <v>0.016283738567923266</v>
      </c>
      <c r="AT17" s="84">
        <f>SUM(AJ17+AP17)</f>
        <v>22532</v>
      </c>
      <c r="AU17" s="285">
        <f>SUM(AK17+AQ17)</f>
        <v>23402</v>
      </c>
      <c r="AV17" s="84">
        <f>AU17-AT17</f>
        <v>870</v>
      </c>
      <c r="AW17" s="289">
        <f>AV17/AU17</f>
        <v>0.037176309717118196</v>
      </c>
      <c r="AY17" s="271" t="s">
        <v>27</v>
      </c>
      <c r="AZ17" s="123">
        <v>4558</v>
      </c>
      <c r="BA17" s="84">
        <v>4429</v>
      </c>
      <c r="BB17" s="84">
        <f>BA17-AZ17</f>
        <v>-129</v>
      </c>
      <c r="BC17" s="289">
        <f>BB17/BA17</f>
        <v>-0.02912621359223301</v>
      </c>
      <c r="BD17" s="84">
        <f>SUM(AT17+AZ17)</f>
        <v>27090</v>
      </c>
      <c r="BE17" s="285">
        <f>SUM(AU17+BA17)</f>
        <v>27831</v>
      </c>
      <c r="BF17" s="84">
        <f>BE17-BD17</f>
        <v>741</v>
      </c>
      <c r="BG17" s="289">
        <f>BF17/BE17</f>
        <v>0.026624986525816536</v>
      </c>
      <c r="BI17" s="271" t="s">
        <v>27</v>
      </c>
      <c r="BJ17" s="123">
        <v>4502</v>
      </c>
      <c r="BK17" s="123">
        <v>4546</v>
      </c>
      <c r="BL17" s="84">
        <f>BK17-BJ17</f>
        <v>44</v>
      </c>
      <c r="BM17" s="289">
        <f>BL17/BK17</f>
        <v>0.009678838539375276</v>
      </c>
      <c r="BN17" s="84">
        <f>SUM(BD17+BJ17)</f>
        <v>31592</v>
      </c>
      <c r="BO17" s="285">
        <f>SUM(BE17+BK17)</f>
        <v>32377</v>
      </c>
      <c r="BP17" s="84">
        <f>BO17-BN17</f>
        <v>785</v>
      </c>
      <c r="BQ17" s="289">
        <f>BP17/BO17</f>
        <v>0.024245606449022454</v>
      </c>
      <c r="BS17" s="271" t="s">
        <v>27</v>
      </c>
      <c r="BT17" s="123">
        <v>4310</v>
      </c>
      <c r="BU17" s="123">
        <v>4612</v>
      </c>
      <c r="BV17" s="84">
        <f>BU17-BT17</f>
        <v>302</v>
      </c>
      <c r="BW17" s="289">
        <f>BV17/BU17</f>
        <v>0.06548135299219428</v>
      </c>
      <c r="BX17" s="84">
        <f>SUM(BN17+BT17)</f>
        <v>35902</v>
      </c>
      <c r="BY17" s="285">
        <f>SUM(BO17+BU17)</f>
        <v>36989</v>
      </c>
      <c r="BZ17" s="84">
        <f>BY17-BX17</f>
        <v>1087</v>
      </c>
      <c r="CA17" s="289">
        <f>BZ17/BY17</f>
        <v>0.029387115088269484</v>
      </c>
      <c r="CC17" s="271" t="s">
        <v>27</v>
      </c>
      <c r="CD17" s="123">
        <v>4197</v>
      </c>
      <c r="CE17" s="84">
        <v>4529</v>
      </c>
      <c r="CF17" s="84">
        <f>CE17-CD17</f>
        <v>332</v>
      </c>
      <c r="CG17" s="289">
        <f>CF17/CE17</f>
        <v>0.07330536542283064</v>
      </c>
      <c r="CH17" s="84">
        <f>SUM(BX17+CD17)</f>
        <v>40099</v>
      </c>
      <c r="CI17" s="285">
        <f>SUM(BY17+CE17)</f>
        <v>41518</v>
      </c>
      <c r="CJ17" s="84">
        <f>CI17-CH17</f>
        <v>1419</v>
      </c>
      <c r="CK17" s="289">
        <f>CJ17/CI17</f>
        <v>0.034177946914591265</v>
      </c>
      <c r="CM17" s="271" t="s">
        <v>27</v>
      </c>
      <c r="CN17" s="123">
        <v>4528</v>
      </c>
      <c r="CO17" s="123">
        <v>4750</v>
      </c>
      <c r="CP17" s="84">
        <f>CO17-CN17</f>
        <v>222</v>
      </c>
      <c r="CQ17" s="289">
        <f>CP17/CO17</f>
        <v>0.04673684210526316</v>
      </c>
      <c r="CR17" s="84">
        <f>SUM(CH17+CN17)</f>
        <v>44627</v>
      </c>
      <c r="CS17" s="285">
        <f>SUM(CI17+CO17)</f>
        <v>46268</v>
      </c>
      <c r="CT17" s="84">
        <f>CS17-CR17</f>
        <v>1641</v>
      </c>
      <c r="CU17" s="289">
        <f>CT17/CS17</f>
        <v>0.03546727760006916</v>
      </c>
      <c r="CW17" s="271" t="s">
        <v>27</v>
      </c>
      <c r="CX17" s="123"/>
      <c r="CY17" s="84"/>
      <c r="CZ17" s="84">
        <f>CY17-CX17</f>
        <v>0</v>
      </c>
      <c r="DA17" s="289" t="e">
        <f>CZ17/CY17</f>
        <v>#DIV/0!</v>
      </c>
      <c r="DB17" s="84">
        <f>SUM(CR17+CX17)</f>
        <v>44627</v>
      </c>
      <c r="DC17" s="285">
        <f>SUM(CS17+CY17)</f>
        <v>46268</v>
      </c>
      <c r="DD17" s="84">
        <f>DC17-DB17</f>
        <v>1641</v>
      </c>
      <c r="DE17" s="289">
        <f>DD17/DC17</f>
        <v>0.03546727760006916</v>
      </c>
      <c r="DG17" s="271" t="s">
        <v>27</v>
      </c>
      <c r="DH17" s="123"/>
      <c r="DI17" s="84">
        <v>4518</v>
      </c>
      <c r="DJ17" s="84">
        <f>DI17-DH17</f>
        <v>4518</v>
      </c>
      <c r="DK17" s="289">
        <f>DJ17/DI17</f>
        <v>1</v>
      </c>
      <c r="DL17" s="84">
        <f>SUM(DB17+DH17)</f>
        <v>44627</v>
      </c>
      <c r="DM17" s="285">
        <f>SUM(DC17+DI17)</f>
        <v>50786</v>
      </c>
      <c r="DN17" s="84">
        <f>DM17-DL17</f>
        <v>6159</v>
      </c>
      <c r="DO17" s="289">
        <f>DN17/DM17</f>
        <v>0.12127357933288702</v>
      </c>
      <c r="DQ17" s="271" t="s">
        <v>27</v>
      </c>
      <c r="DR17" s="123"/>
      <c r="DS17" s="84">
        <v>5457</v>
      </c>
      <c r="DT17" s="84">
        <f>DS17-DR17</f>
        <v>5457</v>
      </c>
      <c r="DU17" s="289">
        <f>DT17/DS17</f>
        <v>1</v>
      </c>
      <c r="DV17" s="84">
        <f>SUM(DL17+DR17)</f>
        <v>44627</v>
      </c>
      <c r="DW17" s="285">
        <f>SUM(DM17+DS17)</f>
        <v>56243</v>
      </c>
      <c r="DX17" s="84">
        <f>DW17-DV17</f>
        <v>11616</v>
      </c>
      <c r="DY17" s="289">
        <f>DX17/DW17</f>
        <v>0.20653236847252102</v>
      </c>
    </row>
    <row r="18" spans="1:129" ht="13.5" thickBot="1">
      <c r="A18" s="271" t="s">
        <v>28</v>
      </c>
      <c r="B18" s="123">
        <v>44</v>
      </c>
      <c r="C18" s="84">
        <v>45</v>
      </c>
      <c r="D18" s="84">
        <f>C18-B18</f>
        <v>1</v>
      </c>
      <c r="E18" s="288">
        <f>D18/C18</f>
        <v>0.022222222222222223</v>
      </c>
      <c r="F18" s="85">
        <f t="shared" si="0"/>
        <v>44</v>
      </c>
      <c r="G18" s="304">
        <f t="shared" si="0"/>
        <v>45</v>
      </c>
      <c r="H18" s="84">
        <f>G18-F18</f>
        <v>1</v>
      </c>
      <c r="I18" s="289">
        <f>H18/G18</f>
        <v>0.022222222222222223</v>
      </c>
      <c r="K18" s="271" t="s">
        <v>28</v>
      </c>
      <c r="L18" s="123">
        <v>40</v>
      </c>
      <c r="M18" s="84">
        <v>52</v>
      </c>
      <c r="N18" s="84">
        <f>M18-L18</f>
        <v>12</v>
      </c>
      <c r="O18" s="288">
        <f>N18/M18</f>
        <v>0.23076923076923078</v>
      </c>
      <c r="P18" s="304">
        <f>SUM(B18+L18)/2</f>
        <v>42</v>
      </c>
      <c r="Q18" s="305">
        <f>SUM(G18+M18)/2</f>
        <v>48.5</v>
      </c>
      <c r="R18" s="153">
        <f>Q18-P18</f>
        <v>6.5</v>
      </c>
      <c r="S18" s="289">
        <f>R18/Q18</f>
        <v>0.13402061855670103</v>
      </c>
      <c r="U18" s="271" t="s">
        <v>28</v>
      </c>
      <c r="V18" s="123">
        <v>43</v>
      </c>
      <c r="W18" s="84">
        <v>48</v>
      </c>
      <c r="X18" s="84">
        <f>W18-V18</f>
        <v>5</v>
      </c>
      <c r="Y18" s="289">
        <f>X18/W18</f>
        <v>0.10416666666666667</v>
      </c>
      <c r="Z18" s="85">
        <f>SUM(B18+L18+V18)/3</f>
        <v>42.333333333333336</v>
      </c>
      <c r="AA18" s="85">
        <f>SUM(C18+M18+W18)/3</f>
        <v>48.333333333333336</v>
      </c>
      <c r="AB18" s="84">
        <f>AA18-Z18</f>
        <v>6</v>
      </c>
      <c r="AC18" s="289">
        <f>AB18/AA18</f>
        <v>0.12413793103448276</v>
      </c>
      <c r="AE18" s="271" t="s">
        <v>28</v>
      </c>
      <c r="AF18" s="123">
        <v>39</v>
      </c>
      <c r="AG18" s="84">
        <v>45</v>
      </c>
      <c r="AH18" s="84">
        <f>AG18-AF18</f>
        <v>6</v>
      </c>
      <c r="AI18" s="289">
        <f>AH18/AG18</f>
        <v>0.13333333333333333</v>
      </c>
      <c r="AJ18" s="85">
        <f>SUM(B18+L18+V18+AF18)/4</f>
        <v>41.5</v>
      </c>
      <c r="AK18" s="85">
        <f>SUM(C18+M18+W18+AG18)/4</f>
        <v>47.5</v>
      </c>
      <c r="AL18" s="84">
        <f>AK18-AJ18</f>
        <v>6</v>
      </c>
      <c r="AM18" s="289">
        <f>AL18/AK18</f>
        <v>0.12631578947368421</v>
      </c>
      <c r="AO18" s="271" t="s">
        <v>28</v>
      </c>
      <c r="AP18" s="123">
        <v>44</v>
      </c>
      <c r="AQ18" s="84">
        <v>49</v>
      </c>
      <c r="AR18" s="84">
        <f>AQ18-AP18</f>
        <v>5</v>
      </c>
      <c r="AS18" s="289">
        <f>AR18/AQ18</f>
        <v>0.10204081632653061</v>
      </c>
      <c r="AT18" s="85">
        <f>SUM(B18+L18+V18+AF18+AP18)/5</f>
        <v>42</v>
      </c>
      <c r="AU18" s="85">
        <f>SUM(C18+M18+W18+AG18+AQ18)/5</f>
        <v>47.8</v>
      </c>
      <c r="AV18" s="84">
        <f>AU18-AT18</f>
        <v>5.799999999999997</v>
      </c>
      <c r="AW18" s="289">
        <f>AV18/AU18</f>
        <v>0.12133891213389116</v>
      </c>
      <c r="AY18" s="271" t="s">
        <v>28</v>
      </c>
      <c r="AZ18" s="123">
        <v>37</v>
      </c>
      <c r="BA18" s="84">
        <v>42</v>
      </c>
      <c r="BB18" s="84">
        <f>BA18-AZ18</f>
        <v>5</v>
      </c>
      <c r="BC18" s="289">
        <f>BB18/BA18</f>
        <v>0.11904761904761904</v>
      </c>
      <c r="BD18" s="85">
        <f>SUM(B18+L18+V18+AF18+AP18+AZ18)/6</f>
        <v>41.166666666666664</v>
      </c>
      <c r="BE18" s="85">
        <f>SUM(C18+M18+W18+AG18+AQ18+BA18)/6</f>
        <v>46.833333333333336</v>
      </c>
      <c r="BF18" s="84">
        <f>BE18-BD18</f>
        <v>5.666666666666671</v>
      </c>
      <c r="BG18" s="289">
        <f>BF18/BE18</f>
        <v>0.12099644128113889</v>
      </c>
      <c r="BI18" s="271" t="s">
        <v>28</v>
      </c>
      <c r="BJ18" s="123">
        <v>38</v>
      </c>
      <c r="BK18" s="123">
        <v>38</v>
      </c>
      <c r="BL18" s="84">
        <f>BK18-BJ18</f>
        <v>0</v>
      </c>
      <c r="BM18" s="289">
        <f>BL18/BK18</f>
        <v>0</v>
      </c>
      <c r="BN18" s="85">
        <f>SUM(B18+L18+V18+AF18+AP18+AZ18+BJ18)/7</f>
        <v>40.714285714285715</v>
      </c>
      <c r="BO18" s="85">
        <f>SUM(C18+M18+W18+AG18+AQ18+BA18+BK18)/7</f>
        <v>45.57142857142857</v>
      </c>
      <c r="BP18" s="84">
        <f>BO18-BN18</f>
        <v>4.857142857142854</v>
      </c>
      <c r="BQ18" s="289">
        <f>BP18/BO18</f>
        <v>0.10658307210031341</v>
      </c>
      <c r="BS18" s="271" t="s">
        <v>28</v>
      </c>
      <c r="BT18" s="123">
        <v>44</v>
      </c>
      <c r="BU18" s="123">
        <v>39</v>
      </c>
      <c r="BV18" s="84">
        <f>BU18-BT18</f>
        <v>-5</v>
      </c>
      <c r="BW18" s="289">
        <f>BV18/BU18</f>
        <v>-0.1282051282051282</v>
      </c>
      <c r="BX18" s="85">
        <f>SUM(B18+L18+V18+AF18+AP18+AZ18+BJ18+BT18)/8</f>
        <v>41.125</v>
      </c>
      <c r="BY18" s="85">
        <f>SUM(C18+M18+W18+AG18+AQ18+BA18+BK18+BU18)/8</f>
        <v>44.75</v>
      </c>
      <c r="BZ18" s="84">
        <f>BY18-BX18</f>
        <v>3.625</v>
      </c>
      <c r="CA18" s="289">
        <f>BZ18/BY18</f>
        <v>0.08100558659217877</v>
      </c>
      <c r="CC18" s="271" t="s">
        <v>28</v>
      </c>
      <c r="CD18" s="123">
        <v>41.48</v>
      </c>
      <c r="CE18" s="84">
        <v>49</v>
      </c>
      <c r="CF18" s="84">
        <f>CE18-CD18</f>
        <v>7.520000000000003</v>
      </c>
      <c r="CG18" s="289">
        <f>CF18/CE18</f>
        <v>0.1534693877551021</v>
      </c>
      <c r="CH18" s="85">
        <f>SUM(B18+L18+V18+AF18+AP18+AZ18+BJ18+BT18+CD18)/9</f>
        <v>41.16444444444445</v>
      </c>
      <c r="CI18" s="85">
        <f>SUM(C18+M18+W18+AG18+AQ18+BA18+BK18+BU18+CE18)/9</f>
        <v>45.22222222222222</v>
      </c>
      <c r="CJ18" s="84">
        <f>CI18-CH18</f>
        <v>4.057777777777773</v>
      </c>
      <c r="CK18" s="289">
        <f>CJ18/CI18</f>
        <v>0.08972972972972962</v>
      </c>
      <c r="CM18" s="271" t="s">
        <v>28</v>
      </c>
      <c r="CN18" s="81">
        <v>42.63</v>
      </c>
      <c r="CO18" s="81">
        <v>41</v>
      </c>
      <c r="CP18" s="82">
        <f>CO18-CN18</f>
        <v>-1.6300000000000026</v>
      </c>
      <c r="CQ18" s="117">
        <f>CP18/CO18</f>
        <v>-0.03975609756097567</v>
      </c>
      <c r="CR18" s="85">
        <f>SUM(B18+L18+V18+AF18+AP18+AZ18+BJ18+BT18+CD18+CN18)/10</f>
        <v>41.311</v>
      </c>
      <c r="CS18" s="85">
        <f>SUM(C18+M18+W18+AG18+AQ18+BA18+BK18+BU18+CE18+CO18)/10</f>
        <v>44.8</v>
      </c>
      <c r="CT18" s="84">
        <f>CS18-CR18</f>
        <v>3.488999999999997</v>
      </c>
      <c r="CU18" s="289">
        <f>CT18/CS18</f>
        <v>0.07787946428571423</v>
      </c>
      <c r="CW18" s="271" t="s">
        <v>28</v>
      </c>
      <c r="CX18" s="123"/>
      <c r="CY18" s="84"/>
      <c r="CZ18" s="84">
        <f>CY18-CX18</f>
        <v>0</v>
      </c>
      <c r="DA18" s="289" t="e">
        <f>CZ18/CY18</f>
        <v>#DIV/0!</v>
      </c>
      <c r="DB18" s="85">
        <f>SUM(B18+L18+V18+AF18+AP18+AZ18+BJ18+BT18+CD18+CN18+CX18)/11</f>
        <v>37.555454545454545</v>
      </c>
      <c r="DC18" s="85">
        <f>SUM(C18+M18+W18+AG18+AQ18+BA18+BK18+BU18+CE18+CO18+CY18)/11</f>
        <v>40.72727272727273</v>
      </c>
      <c r="DD18" s="84">
        <f>DC18-DB18</f>
        <v>3.171818181818182</v>
      </c>
      <c r="DE18" s="289">
        <f>DD18/DC18</f>
        <v>0.0778794642857143</v>
      </c>
      <c r="DG18" s="271" t="s">
        <v>28</v>
      </c>
      <c r="DH18" s="123"/>
      <c r="DI18" s="84">
        <v>53</v>
      </c>
      <c r="DJ18" s="84">
        <f>DI18-DH18</f>
        <v>53</v>
      </c>
      <c r="DK18" s="289">
        <f>DJ18/DI18</f>
        <v>1</v>
      </c>
      <c r="DL18" s="85">
        <f>SUM(B18+L18+V18+AF18+AP18+AZ18+BJ18+BT18+CD18+CN18+CX18+DH18)/12</f>
        <v>34.42583333333334</v>
      </c>
      <c r="DM18" s="85">
        <f>SUM(C18+M18+W18+AG18+AQ18+BA18+BK18+BU18+CE18+CO18+CY18+DI18)/12</f>
        <v>41.75</v>
      </c>
      <c r="DN18" s="84">
        <f>DM18-DL18</f>
        <v>7.324166666666663</v>
      </c>
      <c r="DO18" s="289">
        <f>DN18/DM18</f>
        <v>0.1754291417165668</v>
      </c>
      <c r="DQ18" s="271" t="s">
        <v>28</v>
      </c>
      <c r="DR18" s="123"/>
      <c r="DS18" s="84">
        <v>57</v>
      </c>
      <c r="DT18" s="84">
        <f>DS18-DR18</f>
        <v>57</v>
      </c>
      <c r="DU18" s="289">
        <f>DT18/DS18</f>
        <v>1</v>
      </c>
      <c r="DV18" s="85">
        <f>SUM(B18+L18+V18+AF18+AP18+AZ18+BJ18+BT18+CD18+CN18+CX18+DH18+DR18)/13</f>
        <v>31.77769230769231</v>
      </c>
      <c r="DW18" s="85">
        <f>SUM(C18+M18+W18+AG18+AQ18+BA18+BK18+BU18+CE18+CO18+CY18+DI18+DS18)/13</f>
        <v>42.92307692307692</v>
      </c>
      <c r="DX18" s="306">
        <f>DW18-DV18</f>
        <v>11.14538461538461</v>
      </c>
      <c r="DY18" s="289">
        <f>DX18/DW18</f>
        <v>0.2596594982078852</v>
      </c>
    </row>
    <row r="19" spans="1:129" ht="13.5" thickBot="1">
      <c r="A19" s="282" t="s">
        <v>29</v>
      </c>
      <c r="B19" s="81">
        <v>66.32</v>
      </c>
      <c r="C19" s="82">
        <v>70.91</v>
      </c>
      <c r="D19" s="82">
        <f>C19-B19</f>
        <v>4.590000000000003</v>
      </c>
      <c r="E19" s="83">
        <f>D19/C19</f>
        <v>0.06472993935975185</v>
      </c>
      <c r="F19" s="82">
        <f t="shared" si="0"/>
        <v>66.32</v>
      </c>
      <c r="G19" s="81">
        <f t="shared" si="0"/>
        <v>70.91</v>
      </c>
      <c r="H19" s="82">
        <f>G19-F19</f>
        <v>4.590000000000003</v>
      </c>
      <c r="I19" s="117">
        <f>H19/G19</f>
        <v>0.06472993935975185</v>
      </c>
      <c r="K19" s="282" t="s">
        <v>29</v>
      </c>
      <c r="L19" s="81">
        <v>67.11</v>
      </c>
      <c r="M19" s="82">
        <v>61.18</v>
      </c>
      <c r="N19" s="82">
        <f>M19-L19</f>
        <v>-5.93</v>
      </c>
      <c r="O19" s="83">
        <f>N19/M19</f>
        <v>-0.09692710035959463</v>
      </c>
      <c r="P19" s="304">
        <f>SUM(B19+L19)/2</f>
        <v>66.715</v>
      </c>
      <c r="Q19" s="305">
        <f>SUM(G19+M19)/2</f>
        <v>66.045</v>
      </c>
      <c r="R19" s="290">
        <f>Q19-P19</f>
        <v>-0.6700000000000017</v>
      </c>
      <c r="S19" s="117">
        <f>R19/Q19</f>
        <v>-0.010144598379892523</v>
      </c>
      <c r="U19" s="282" t="s">
        <v>29</v>
      </c>
      <c r="V19" s="81">
        <v>64.93</v>
      </c>
      <c r="W19" s="82">
        <v>77.39</v>
      </c>
      <c r="X19" s="82">
        <f>W19-V19</f>
        <v>12.459999999999994</v>
      </c>
      <c r="Y19" s="83">
        <f>X19/W19</f>
        <v>0.16100271352887963</v>
      </c>
      <c r="Z19" s="306">
        <f>SUM(B19+L19+V19)/3</f>
        <v>66.12</v>
      </c>
      <c r="AA19" s="306">
        <f>SUM(C19+M19+W19)/3</f>
        <v>69.82666666666667</v>
      </c>
      <c r="AB19" s="121">
        <f>AA19-Z19</f>
        <v>3.7066666666666634</v>
      </c>
      <c r="AC19" s="117">
        <f>AB19/AA19</f>
        <v>0.05308382661829287</v>
      </c>
      <c r="AE19" s="282" t="s">
        <v>29</v>
      </c>
      <c r="AF19" s="81">
        <v>61.43</v>
      </c>
      <c r="AG19" s="82">
        <v>72.21</v>
      </c>
      <c r="AH19" s="82">
        <f>AG19-AF19</f>
        <v>10.779999999999994</v>
      </c>
      <c r="AI19" s="83">
        <f>AH19/AG19</f>
        <v>0.1492868023819415</v>
      </c>
      <c r="AJ19" s="306">
        <f>SUM(B19+L19+V19+AF19)/4</f>
        <v>64.9475</v>
      </c>
      <c r="AK19" s="306">
        <f>SUM(C19+M19+W19+AG19)/4</f>
        <v>70.4225</v>
      </c>
      <c r="AL19" s="82">
        <f>AK19-AJ19</f>
        <v>5.474999999999994</v>
      </c>
      <c r="AM19" s="117">
        <f>AL19/AK19</f>
        <v>0.07774503887251935</v>
      </c>
      <c r="AO19" s="282" t="s">
        <v>29</v>
      </c>
      <c r="AP19" s="81">
        <v>65.07</v>
      </c>
      <c r="AQ19" s="82">
        <v>74.75</v>
      </c>
      <c r="AR19" s="82">
        <f>AQ19-AP19</f>
        <v>9.680000000000007</v>
      </c>
      <c r="AS19" s="83">
        <f>AR19/AQ19</f>
        <v>0.12949832775919742</v>
      </c>
      <c r="AT19" s="306">
        <f>SUM(B19+L19+V19+AF19+AP19)/5</f>
        <v>64.97200000000001</v>
      </c>
      <c r="AU19" s="119">
        <f>SUM(C19+M19+W19+AG19+AQ19)/5</f>
        <v>71.288</v>
      </c>
      <c r="AV19" s="82">
        <f>AU19-AT19</f>
        <v>6.315999999999988</v>
      </c>
      <c r="AW19" s="117">
        <f>AV19/AU19</f>
        <v>0.08859836157558058</v>
      </c>
      <c r="AY19" s="282" t="s">
        <v>29</v>
      </c>
      <c r="AZ19" s="81">
        <v>66.89</v>
      </c>
      <c r="BA19" s="82">
        <v>74.14</v>
      </c>
      <c r="BB19" s="82">
        <f>BA19-AZ19</f>
        <v>7.25</v>
      </c>
      <c r="BC19" s="83">
        <f>BB19/BA19</f>
        <v>0.09778796870785002</v>
      </c>
      <c r="BD19" s="306">
        <f>SUM(B19+L19+V19+AF19+AP19+AZ19)/6</f>
        <v>65.29166666666667</v>
      </c>
      <c r="BE19" s="306">
        <f>SUM(C19+M19+W19+AG19+AQ19+BA19)/6</f>
        <v>71.76333333333334</v>
      </c>
      <c r="BF19" s="82">
        <f>BE19-BD19</f>
        <v>6.471666666666664</v>
      </c>
      <c r="BG19" s="117">
        <f>BF19/BE19</f>
        <v>0.09018068651586228</v>
      </c>
      <c r="BI19" s="282" t="s">
        <v>29</v>
      </c>
      <c r="BJ19" s="81">
        <v>64.89</v>
      </c>
      <c r="BK19" s="81">
        <v>71.43</v>
      </c>
      <c r="BL19" s="82">
        <f>BK19-BJ19</f>
        <v>6.540000000000006</v>
      </c>
      <c r="BM19" s="83">
        <f>BL19/BK19</f>
        <v>0.09155816883662335</v>
      </c>
      <c r="BN19" s="306">
        <f>SUM(B19+L19+V19+AF19+AP19+AZ19+BJ19)/7</f>
        <v>65.23428571428572</v>
      </c>
      <c r="BO19" s="306">
        <f>SUM(C19+M19+W19+AG19+AQ19+BA19+BK19)/7</f>
        <v>71.71571428571428</v>
      </c>
      <c r="BP19" s="82">
        <f>BO19-BN19</f>
        <v>6.481428571428566</v>
      </c>
      <c r="BQ19" s="117">
        <f>BP19/BO19</f>
        <v>0.09037668572339189</v>
      </c>
      <c r="BS19" s="282" t="s">
        <v>29</v>
      </c>
      <c r="BT19" s="81">
        <v>65.11</v>
      </c>
      <c r="BU19" s="81">
        <v>74.29</v>
      </c>
      <c r="BV19" s="82">
        <f>BU19-BT19</f>
        <v>9.180000000000007</v>
      </c>
      <c r="BW19" s="83">
        <f>BV19/BU19</f>
        <v>0.12356979405034334</v>
      </c>
      <c r="BX19" s="306">
        <f>SUM(B19+L19+V19+AF19+AP19+AZ19+BJ19+BT19)/8</f>
        <v>65.21875</v>
      </c>
      <c r="BY19" s="306">
        <f>SUM(C19+M19+W19+AG19+AQ19+BA19+BK19+BU19)/8</f>
        <v>72.0375</v>
      </c>
      <c r="BZ19" s="82">
        <f>BY19-BX19</f>
        <v>6.818749999999994</v>
      </c>
      <c r="CA19" s="117">
        <f>BZ19/BY19</f>
        <v>0.09465556133958</v>
      </c>
      <c r="CC19" s="282" t="s">
        <v>29</v>
      </c>
      <c r="CD19" s="81">
        <v>66.18</v>
      </c>
      <c r="CE19" s="82">
        <v>72.93</v>
      </c>
      <c r="CF19" s="82">
        <f>CE19-CD19</f>
        <v>6.75</v>
      </c>
      <c r="CG19" s="83">
        <f>CF19/CE19</f>
        <v>0.0925545043192102</v>
      </c>
      <c r="CH19" s="306">
        <f>SUM(B19+L19+V19+AF19+AP19+AZ19+BJ19+BT19+CD19)/9</f>
        <v>65.32555555555557</v>
      </c>
      <c r="CI19" s="306">
        <f>SUM(C19+M19+W19+AG19+AQ19+BA19+BK19+BU19+CE19)/9</f>
        <v>72.13666666666667</v>
      </c>
      <c r="CJ19" s="82">
        <f>CI19-CH19</f>
        <v>6.811111111111103</v>
      </c>
      <c r="CK19" s="117">
        <f>CJ19/CI19</f>
        <v>0.09441954315111736</v>
      </c>
      <c r="CM19" s="282" t="s">
        <v>29</v>
      </c>
      <c r="CN19" s="81">
        <v>67</v>
      </c>
      <c r="CO19" s="81">
        <v>71</v>
      </c>
      <c r="CP19" s="82">
        <f>CO19-CN19</f>
        <v>4</v>
      </c>
      <c r="CQ19" s="83">
        <f>CP19/CO19</f>
        <v>0.056338028169014086</v>
      </c>
      <c r="CR19" s="306">
        <f>SUM(B19+L19+V19+AF19+AP19+AZ19+BJ19+BT19+CD19+CN19)/10</f>
        <v>65.49300000000001</v>
      </c>
      <c r="CS19" s="306">
        <f>SUM(C19+M19+W19+AG19+AQ19+BA19+BK19+BU19+CE19+CO19)/10</f>
        <v>72.023</v>
      </c>
      <c r="CT19" s="82">
        <f>CS19-CR19</f>
        <v>6.529999999999987</v>
      </c>
      <c r="CU19" s="117">
        <f>CT19/CS19</f>
        <v>0.09066548185996122</v>
      </c>
      <c r="CW19" s="282" t="s">
        <v>29</v>
      </c>
      <c r="CX19" s="81"/>
      <c r="CY19" s="82"/>
      <c r="CZ19" s="82">
        <f>CY19-CX19</f>
        <v>0</v>
      </c>
      <c r="DA19" s="83" t="e">
        <f>CZ19/CY19</f>
        <v>#DIV/0!</v>
      </c>
      <c r="DB19" s="306">
        <f>SUM(B19+L19+V19+AF19+AP19+AZ19+BJ19+BT19+CD19+CN19+CX19)/11</f>
        <v>59.539090909090916</v>
      </c>
      <c r="DC19" s="306">
        <f>SUM(C19+M19+W19+AG19+AQ19+BA19+BK19+BU19+CE19+CO19+CY19)/11</f>
        <v>65.47545454545455</v>
      </c>
      <c r="DD19" s="82">
        <f>DC19-DB19</f>
        <v>5.936363636363637</v>
      </c>
      <c r="DE19" s="117">
        <f>DD19/DC19</f>
        <v>0.0906654818599614</v>
      </c>
      <c r="DG19" s="282" t="s">
        <v>29</v>
      </c>
      <c r="DH19" s="81"/>
      <c r="DI19" s="82">
        <v>70.93</v>
      </c>
      <c r="DJ19" s="82">
        <f>DI19-DH19</f>
        <v>70.93</v>
      </c>
      <c r="DK19" s="83">
        <f>DJ19/DI19</f>
        <v>1</v>
      </c>
      <c r="DL19" s="306">
        <f>SUM(B19+L19+V19+AF19+AP19+AZ19+BJ19+BT19+CD19+CN19+CX19+DH19)/12</f>
        <v>54.57750000000001</v>
      </c>
      <c r="DM19" s="306">
        <f>SUM(C19+M19+W19+AG19+AQ19+BA19+BK19+BU19+CE19+CO19+CY19+DI19)/12</f>
        <v>65.93</v>
      </c>
      <c r="DN19" s="121">
        <f>DM19-DL19</f>
        <v>11.3525</v>
      </c>
      <c r="DO19" s="117">
        <f>DN19/DM19</f>
        <v>0.1721902017291066</v>
      </c>
      <c r="DQ19" s="282" t="s">
        <v>29</v>
      </c>
      <c r="DR19" s="81"/>
      <c r="DS19" s="82">
        <v>74.26</v>
      </c>
      <c r="DT19" s="82">
        <f>DS19-DR19</f>
        <v>74.26</v>
      </c>
      <c r="DU19" s="83">
        <f>DT19/DS19</f>
        <v>1</v>
      </c>
      <c r="DV19" s="306">
        <f>SUM(B19+L19+V19+AF19+AP19+AZ19+BJ19+BT19+CD19+CN19+CX19+DH19+DR19)/13</f>
        <v>50.37923076923077</v>
      </c>
      <c r="DW19" s="306">
        <f>SUM(C19+M19+W19+AG19+AQ19+BA19+BK19+BU19+CE19+CO19+CY19+DI19+DS19)/13</f>
        <v>66.57076923076923</v>
      </c>
      <c r="DX19" s="121">
        <f>DW19-DV19</f>
        <v>16.191538461538457</v>
      </c>
      <c r="DY19" s="117">
        <f>DX19/DW19</f>
        <v>0.24322294377296566</v>
      </c>
    </row>
    <row r="20" spans="5:125" ht="12.75">
      <c r="E20" s="95"/>
      <c r="O20" s="95"/>
      <c r="Y20" s="95"/>
      <c r="AI20" s="95"/>
      <c r="AS20" s="95"/>
      <c r="AU20" s="89"/>
      <c r="BC20" s="95"/>
      <c r="BM20" s="95"/>
      <c r="BW20" s="95"/>
      <c r="CG20" s="95"/>
      <c r="CQ20" s="95"/>
      <c r="DA20" s="95"/>
      <c r="DK20" s="95"/>
      <c r="DU20" s="95"/>
    </row>
    <row r="21" spans="5:125" ht="13.5" thickBot="1">
      <c r="E21" s="95"/>
      <c r="O21" s="95"/>
      <c r="Y21" s="95"/>
      <c r="AI21" s="95"/>
      <c r="AS21" s="95"/>
      <c r="BC21" s="95"/>
      <c r="BM21" s="95"/>
      <c r="BW21" s="95"/>
      <c r="CG21" s="95"/>
      <c r="CQ21" s="95"/>
      <c r="DA21" s="95"/>
      <c r="DK21" s="95"/>
      <c r="DU21" s="95"/>
    </row>
    <row r="22" spans="1:129" ht="13.5" thickBot="1">
      <c r="A22" s="271" t="s">
        <v>30</v>
      </c>
      <c r="B22" s="96">
        <f>B14/B19/35</f>
        <v>5.573841116663796</v>
      </c>
      <c r="C22" s="97">
        <f>C14/C19/22</f>
        <v>7.051191651389086</v>
      </c>
      <c r="D22" s="98">
        <f>C22-B22</f>
        <v>1.4773505347252902</v>
      </c>
      <c r="E22" s="99">
        <f>D22/C22</f>
        <v>0.20951785283474061</v>
      </c>
      <c r="F22" s="96">
        <f>F14/F19/35</f>
        <v>5.573841116663796</v>
      </c>
      <c r="G22" s="97">
        <f>G14/G19/22</f>
        <v>7.051191651389086</v>
      </c>
      <c r="H22" s="97">
        <f>G22-F22</f>
        <v>1.4773505347252902</v>
      </c>
      <c r="I22" s="93">
        <f>H22/G22</f>
        <v>0.20951785283474061</v>
      </c>
      <c r="K22" s="271" t="s">
        <v>30</v>
      </c>
      <c r="L22" s="96">
        <f>L14/L19/28</f>
        <v>5.432977840219682</v>
      </c>
      <c r="M22" s="97">
        <f>M14/M19/28</f>
        <v>6.465698407509457</v>
      </c>
      <c r="N22" s="98">
        <f>M22-L22</f>
        <v>1.0327205672897746</v>
      </c>
      <c r="O22" s="99">
        <f>N22/M22</f>
        <v>0.15972297224540224</v>
      </c>
      <c r="P22" s="96">
        <f>P14/P19/63</f>
        <v>5.507197757816059</v>
      </c>
      <c r="Q22" s="97">
        <f>Q14/Q19/50</f>
        <v>6.6851389204330385</v>
      </c>
      <c r="R22" s="97">
        <f>Q22-P22</f>
        <v>1.1779411626169791</v>
      </c>
      <c r="S22" s="93">
        <f>R22/Q22</f>
        <v>0.17620294456658447</v>
      </c>
      <c r="U22" s="271" t="s">
        <v>30</v>
      </c>
      <c r="V22" s="96">
        <f>V14/V19/28</f>
        <v>5.794151943851619</v>
      </c>
      <c r="W22" s="97">
        <f>W14/W19/28</f>
        <v>4.951728720949551</v>
      </c>
      <c r="X22" s="98">
        <f>W22-V22</f>
        <v>-0.8424232229020685</v>
      </c>
      <c r="Y22" s="99">
        <f>X22/W22</f>
        <v>-0.1701270950765098</v>
      </c>
      <c r="Z22" s="96">
        <f>Z14/Z19/91</f>
        <v>5.597714445264354</v>
      </c>
      <c r="AA22" s="97">
        <f>AA14/AA19/78</f>
        <v>6.023339845184412</v>
      </c>
      <c r="AB22" s="97">
        <f>AA22-Z22</f>
        <v>0.4256253999200581</v>
      </c>
      <c r="AC22" s="93">
        <f>AB22/AA22</f>
        <v>0.07066269061015053</v>
      </c>
      <c r="AE22" s="271" t="s">
        <v>30</v>
      </c>
      <c r="AF22" s="96">
        <f>AF14/AF19/28</f>
        <v>5.603939443268762</v>
      </c>
      <c r="AG22" s="97">
        <f>AG14/AG19/28</f>
        <v>5.273309988723367</v>
      </c>
      <c r="AH22" s="98">
        <f>AG22-AF22</f>
        <v>-0.3306294545453943</v>
      </c>
      <c r="AI22" s="99">
        <f>AH22/AG22</f>
        <v>-0.06269865705836068</v>
      </c>
      <c r="AJ22" s="96">
        <f>AJ14/AJ19/119</f>
        <v>5.605044281078996</v>
      </c>
      <c r="AK22" s="97">
        <f>AK14/AK19/106</f>
        <v>5.823074609650512</v>
      </c>
      <c r="AL22" s="97">
        <f>AK22-AJ22</f>
        <v>0.21803032857151639</v>
      </c>
      <c r="AM22" s="93">
        <f>AL22/AK22</f>
        <v>0.037442475528336405</v>
      </c>
      <c r="AO22" s="271" t="s">
        <v>30</v>
      </c>
      <c r="AP22" s="96">
        <f>AP14/AP19/28</f>
        <v>5.541834068805024</v>
      </c>
      <c r="AQ22" s="97">
        <f>AQ14/AQ19/28</f>
        <v>4.959866220735786</v>
      </c>
      <c r="AR22" s="98">
        <f>AQ22-AP22</f>
        <v>-0.5819678480692376</v>
      </c>
      <c r="AS22" s="99">
        <f>AR22/AQ22</f>
        <v>-0.11733539215961028</v>
      </c>
      <c r="AT22" s="96">
        <f>AT14/AT19/147</f>
        <v>5.59288543343213</v>
      </c>
      <c r="AU22" s="97">
        <f>AU14/AU19/134</f>
        <v>5.637108755403769</v>
      </c>
      <c r="AV22" s="97">
        <f>AU22-AT22</f>
        <v>0.04422332197163925</v>
      </c>
      <c r="AW22" s="93">
        <f>AV22/AU22</f>
        <v>0.007845036150712276</v>
      </c>
      <c r="AY22" s="271" t="s">
        <v>30</v>
      </c>
      <c r="AZ22" s="96">
        <f>AZ14/AZ19/28</f>
        <v>4.915853319949598</v>
      </c>
      <c r="BA22" s="97">
        <f>BA14/BA19/28</f>
        <v>4.868684727735173</v>
      </c>
      <c r="BB22" s="98">
        <f>BA22-AZ22</f>
        <v>-0.047168592214425153</v>
      </c>
      <c r="BC22" s="99">
        <f>BB22/BA22</f>
        <v>-0.009688159092685215</v>
      </c>
      <c r="BD22" s="96">
        <f>BD14/BD19/175</f>
        <v>5.4808132008387265</v>
      </c>
      <c r="BE22" s="97">
        <f>BE14/BE19/162</f>
        <v>5.501279067166939</v>
      </c>
      <c r="BF22" s="97">
        <f>BE22-BD22</f>
        <v>0.020465866328212456</v>
      </c>
      <c r="BG22" s="93">
        <f>BF22/BE22</f>
        <v>0.003720201443762062</v>
      </c>
      <c r="BI22" s="271" t="s">
        <v>30</v>
      </c>
      <c r="BJ22" s="96">
        <f>BJ14/BJ19/28</f>
        <v>5.365123395636572</v>
      </c>
      <c r="BK22" s="96">
        <f>BK14/BK19/28</f>
        <v>4.795904081918361</v>
      </c>
      <c r="BL22" s="98">
        <f>BK22-BJ22</f>
        <v>-0.5692193137182109</v>
      </c>
      <c r="BM22" s="99">
        <f>BL22/BK22</f>
        <v>-0.11868863596840812</v>
      </c>
      <c r="BN22" s="96">
        <f>BN14/BN19/203</f>
        <v>5.465106444675349</v>
      </c>
      <c r="BO22" s="97">
        <f>BO14/BO19/190</f>
        <v>5.397627851825137</v>
      </c>
      <c r="BP22" s="97">
        <f>BO22-BN22</f>
        <v>-0.06747859285021196</v>
      </c>
      <c r="BQ22" s="93">
        <f>BP22/BO22</f>
        <v>-0.012501527467736584</v>
      </c>
      <c r="BS22" s="271" t="s">
        <v>30</v>
      </c>
      <c r="BT22" s="96">
        <f>BT14/BT19/28</f>
        <v>5.967922417008579</v>
      </c>
      <c r="BU22" s="96">
        <f>BU14/BU19/28</f>
        <v>4.743957079399265</v>
      </c>
      <c r="BV22" s="98">
        <f>BU22-BT22</f>
        <v>-1.2239653376093145</v>
      </c>
      <c r="BW22" s="99">
        <f>BV22/BU22</f>
        <v>-0.25800514573043043</v>
      </c>
      <c r="BX22" s="96">
        <f>BX14/BX19/231</f>
        <v>5.525991657280589</v>
      </c>
      <c r="BY22" s="97">
        <f>BY14/BY19/218</f>
        <v>5.311708510634911</v>
      </c>
      <c r="BZ22" s="97">
        <f>BY22-BX22</f>
        <v>-0.2142831466456787</v>
      </c>
      <c r="CA22" s="93">
        <f>BZ22/BY22</f>
        <v>-0.040341661485499204</v>
      </c>
      <c r="CC22" s="271" t="s">
        <v>30</v>
      </c>
      <c r="CD22" s="96">
        <f>CD14/CD19/28</f>
        <v>5.476406337693736</v>
      </c>
      <c r="CE22" s="97">
        <f>CE14/CE19/28</f>
        <v>4.816751875575405</v>
      </c>
      <c r="CF22" s="98">
        <f>CE22-CD22</f>
        <v>-0.6596544621183309</v>
      </c>
      <c r="CG22" s="99">
        <f>CF22/CE22</f>
        <v>-0.13695006077919036</v>
      </c>
      <c r="CH22" s="96">
        <f>CH14/CH19/259</f>
        <v>5.520316781861522</v>
      </c>
      <c r="CI22" s="97">
        <f>CI14/CI19/246</f>
        <v>5.254930512430673</v>
      </c>
      <c r="CJ22" s="97">
        <f>CI22-CH22</f>
        <v>-0.26538626943084953</v>
      </c>
      <c r="CK22" s="93">
        <f>CJ22/CI22</f>
        <v>-0.05050233657763342</v>
      </c>
      <c r="CM22" s="271" t="s">
        <v>30</v>
      </c>
      <c r="CN22" s="96">
        <f>CN14/CN19/28</f>
        <v>5.927505330490405</v>
      </c>
      <c r="CO22" s="97">
        <f>CO14/CO19/28</f>
        <v>5.1483903420523145</v>
      </c>
      <c r="CP22" s="98">
        <f>CO22-CN22</f>
        <v>-0.7791149884380904</v>
      </c>
      <c r="CQ22" s="99">
        <f>CP22/CO22</f>
        <v>-0.15133176326477024</v>
      </c>
      <c r="CR22" s="96">
        <f>CR14/CR19/287</f>
        <v>5.560612350464774</v>
      </c>
      <c r="CS22" s="97">
        <f>CS14/CS19/274</f>
        <v>5.244016231230271</v>
      </c>
      <c r="CT22" s="97">
        <f>CS22-CR22</f>
        <v>-0.3165961192345037</v>
      </c>
      <c r="CU22" s="93">
        <f>CT22/CS22</f>
        <v>-0.06037283358297859</v>
      </c>
      <c r="CW22" s="271" t="s">
        <v>30</v>
      </c>
      <c r="CX22" s="96" t="e">
        <f>CX14/CX19/28</f>
        <v>#DIV/0!</v>
      </c>
      <c r="CY22" s="97" t="e">
        <f>CY14/CY19/28</f>
        <v>#DIV/0!</v>
      </c>
      <c r="CZ22" s="98" t="e">
        <f>CY22-CX22</f>
        <v>#DIV/0!</v>
      </c>
      <c r="DA22" s="99" t="e">
        <f>CZ22/CY22</f>
        <v>#DIV/0!</v>
      </c>
      <c r="DB22" s="96">
        <f>DB14/DB19/315</f>
        <v>6.153780156803379</v>
      </c>
      <c r="DC22" s="97">
        <f>DC14/DC19/302</f>
        <v>5.7608161042742685</v>
      </c>
      <c r="DD22" s="97">
        <f>DC22-DB22</f>
        <v>-0.39296405252911093</v>
      </c>
      <c r="DE22" s="93">
        <f>DD22/DC22</f>
        <v>-0.06821326100611841</v>
      </c>
      <c r="DG22" s="271" t="s">
        <v>30</v>
      </c>
      <c r="DH22" s="96" t="e">
        <f>DH14/DH19/28</f>
        <v>#DIV/0!</v>
      </c>
      <c r="DI22" s="97">
        <f>DI14/DI19/28</f>
        <v>5.3694789631628765</v>
      </c>
      <c r="DJ22" s="98" t="e">
        <f>DI22-DH22</f>
        <v>#DIV/0!</v>
      </c>
      <c r="DK22" s="99" t="e">
        <f>DJ22/DI22</f>
        <v>#DIV/0!</v>
      </c>
      <c r="DL22" s="96">
        <f>DL14/DL19/343</f>
        <v>6.658784756958201</v>
      </c>
      <c r="DM22" s="97">
        <f>DM14/DM19/330</f>
        <v>5.7258157182319165</v>
      </c>
      <c r="DN22" s="97">
        <f>DM22-DL22</f>
        <v>-0.9329690387262843</v>
      </c>
      <c r="DO22" s="93">
        <f>DN22/DM22</f>
        <v>-0.16294080784953682</v>
      </c>
      <c r="DQ22" s="271" t="s">
        <v>30</v>
      </c>
      <c r="DR22" s="96" t="e">
        <f>DR14/DR19/22</f>
        <v>#DIV/0!</v>
      </c>
      <c r="DS22" s="97">
        <f>DS14/DS19/35</f>
        <v>2.952945250278942</v>
      </c>
      <c r="DT22" s="98" t="e">
        <f>DS22-DR22</f>
        <v>#DIV/0!</v>
      </c>
      <c r="DU22" s="99" t="e">
        <f>DT22/DS22</f>
        <v>#DIV/0!</v>
      </c>
      <c r="DV22" s="96">
        <f>DV14/DV19/365</f>
        <v>7.312972274146625</v>
      </c>
      <c r="DW22" s="96">
        <f>DW14/DW19/365</f>
        <v>5.442801863882387</v>
      </c>
      <c r="DX22" s="97">
        <f>DW22-DV22</f>
        <v>-1.8701704102642376</v>
      </c>
      <c r="DY22" s="93">
        <f>DX22/DW22</f>
        <v>-0.34360435250719057</v>
      </c>
    </row>
    <row r="23" spans="1:129" ht="13.5" thickBot="1">
      <c r="A23" s="271" t="s">
        <v>31</v>
      </c>
      <c r="B23" s="100">
        <f>B15/B18/35</f>
        <v>55.46164935064935</v>
      </c>
      <c r="C23" s="101">
        <f>C15/C18/22</f>
        <v>76.95555555555555</v>
      </c>
      <c r="D23" s="102">
        <f>C23-B23</f>
        <v>21.493906204906196</v>
      </c>
      <c r="E23" s="79">
        <f>D23/C23</f>
        <v>0.2793028527926015</v>
      </c>
      <c r="F23" s="100">
        <f>F15/F18/35</f>
        <v>55.46164935064935</v>
      </c>
      <c r="G23" s="101">
        <f>G15/G18/22</f>
        <v>76.95555555555555</v>
      </c>
      <c r="H23" s="101">
        <f>G23-F23</f>
        <v>21.493906204906196</v>
      </c>
      <c r="I23" s="103">
        <f>H23/G23</f>
        <v>0.2793028527926015</v>
      </c>
      <c r="K23" s="271" t="s">
        <v>31</v>
      </c>
      <c r="L23" s="100">
        <f>L15/L18/28</f>
        <v>63.43450892857142</v>
      </c>
      <c r="M23" s="101">
        <f>M15/M18/28</f>
        <v>41.64010989010989</v>
      </c>
      <c r="N23" s="102">
        <f>M23-L23</f>
        <v>-21.794399038461528</v>
      </c>
      <c r="O23" s="79">
        <f>N23/M23</f>
        <v>-0.5233991719997358</v>
      </c>
      <c r="P23" s="100">
        <f>P15/P18/63</f>
        <v>59.12985260770975</v>
      </c>
      <c r="Q23" s="101">
        <f>Q15/Q18/50</f>
        <v>56.418144329896904</v>
      </c>
      <c r="R23" s="101">
        <f>Q23-P23</f>
        <v>-2.7117082778128463</v>
      </c>
      <c r="S23" s="103">
        <f>R23/Q23</f>
        <v>-0.048064471279957846</v>
      </c>
      <c r="U23" s="271" t="s">
        <v>31</v>
      </c>
      <c r="V23" s="100">
        <f>V15/V18/28</f>
        <v>62.697234219269106</v>
      </c>
      <c r="W23" s="101">
        <f>W15/W18/28</f>
        <v>39.00520833333333</v>
      </c>
      <c r="X23" s="102">
        <f>W23-V23</f>
        <v>-23.692025885935777</v>
      </c>
      <c r="Y23" s="79">
        <f>X23/W23</f>
        <v>-0.6074067258779102</v>
      </c>
      <c r="Z23" s="100">
        <f>Z15/Z18/91</f>
        <v>60.20897983905857</v>
      </c>
      <c r="AA23" s="101">
        <f>AA15/AA18/78</f>
        <v>50.195490716180366</v>
      </c>
      <c r="AB23" s="101">
        <f>AA23-Z23</f>
        <v>-10.013489122878205</v>
      </c>
      <c r="AC23" s="103">
        <f>AB23/AA23</f>
        <v>-0.19948981432410595</v>
      </c>
      <c r="AE23" s="271" t="s">
        <v>31</v>
      </c>
      <c r="AF23" s="100">
        <f>AF15/AF18/28</f>
        <v>58.89133699633699</v>
      </c>
      <c r="AG23" s="101">
        <f>AG15/AG18/28</f>
        <v>58.18492063492063</v>
      </c>
      <c r="AH23" s="102">
        <f>AG23-AF23</f>
        <v>-0.706416361416359</v>
      </c>
      <c r="AI23" s="79">
        <f>AH23/AG23</f>
        <v>-0.012140883818485295</v>
      </c>
      <c r="AJ23" s="100">
        <f>AJ15/AJ18/119</f>
        <v>59.98874152070467</v>
      </c>
      <c r="AK23" s="101">
        <f>AK15/AK18/106</f>
        <v>52.14498510427011</v>
      </c>
      <c r="AL23" s="101">
        <f>AK23-AJ23</f>
        <v>-7.843756416434559</v>
      </c>
      <c r="AM23" s="103">
        <f>AL23/AK23</f>
        <v>-0.15042206648923254</v>
      </c>
      <c r="AO23" s="271" t="s">
        <v>31</v>
      </c>
      <c r="AP23" s="100">
        <f>AP15/AP18/28</f>
        <v>52.99213474025974</v>
      </c>
      <c r="AQ23" s="101">
        <f>AQ15/AQ18/28</f>
        <v>56.3432944606414</v>
      </c>
      <c r="AR23" s="102">
        <f>AQ23-AP23</f>
        <v>3.351159720381659</v>
      </c>
      <c r="AS23" s="79">
        <f>AR23/AQ23</f>
        <v>0.05947752527539211</v>
      </c>
      <c r="AT23" s="100">
        <f>AT15/AT18/147</f>
        <v>58.55858600583091</v>
      </c>
      <c r="AU23" s="101">
        <f>AU15/AU18/134</f>
        <v>53.05892087678762</v>
      </c>
      <c r="AV23" s="101">
        <f>AU23-AT23</f>
        <v>-5.499665129043294</v>
      </c>
      <c r="AW23" s="103">
        <f>AV23/AU23</f>
        <v>-0.10365203509914021</v>
      </c>
      <c r="AY23" s="271" t="s">
        <v>31</v>
      </c>
      <c r="AZ23" s="100">
        <f>AZ15/AZ18/28</f>
        <v>109.53861003861005</v>
      </c>
      <c r="BA23" s="101">
        <f>BA15/BA18/28</f>
        <v>56.898809523809526</v>
      </c>
      <c r="BB23" s="102">
        <f>BA23-AZ23</f>
        <v>-52.63980051480052</v>
      </c>
      <c r="BC23" s="79">
        <f>BB23/BA23</f>
        <v>-0.9251476604756237</v>
      </c>
      <c r="BD23" s="100">
        <f>BD15/BD18/175</f>
        <v>65.93721827646038</v>
      </c>
      <c r="BE23" s="101">
        <f>BE15/BE18/162</f>
        <v>53.61354949255304</v>
      </c>
      <c r="BF23" s="101">
        <f>BE23-BD23</f>
        <v>-12.323668783907344</v>
      </c>
      <c r="BG23" s="103">
        <f>BF23/BE23</f>
        <v>-0.22986108736596725</v>
      </c>
      <c r="BI23" s="271" t="s">
        <v>31</v>
      </c>
      <c r="BJ23" s="100">
        <f>BJ15/BJ18/28</f>
        <v>62.02376879699248</v>
      </c>
      <c r="BK23" s="100">
        <f>BK15/BK18/28</f>
        <v>50.96995300751879</v>
      </c>
      <c r="BL23" s="102">
        <f>BK23-BJ23</f>
        <v>-11.053815789473688</v>
      </c>
      <c r="BM23" s="79">
        <f>BL23/BK23</f>
        <v>-0.2168692560466574</v>
      </c>
      <c r="BN23" s="100">
        <f>BN15/BN18/203</f>
        <v>65.45868118572292</v>
      </c>
      <c r="BO23" s="101">
        <f>BO15/BO18/190</f>
        <v>53.24181174723644</v>
      </c>
      <c r="BP23" s="101">
        <f>BO23-BN23</f>
        <v>-12.216869438486484</v>
      </c>
      <c r="BQ23" s="103">
        <f>BP23/BO23</f>
        <v>-0.22946006226244942</v>
      </c>
      <c r="BS23" s="271" t="s">
        <v>31</v>
      </c>
      <c r="BT23" s="100">
        <f>BT15/BT18/28</f>
        <v>70.90414772727273</v>
      </c>
      <c r="BU23" s="100">
        <f>BU15/BU18/28</f>
        <v>53.92843406593407</v>
      </c>
      <c r="BV23" s="102">
        <f>BU23-BT23</f>
        <v>-16.97571366133866</v>
      </c>
      <c r="BW23" s="79">
        <f>BV23/BU23</f>
        <v>-0.3147822471645252</v>
      </c>
      <c r="BX23" s="100">
        <f>BX15/BX18/231</f>
        <v>66.1450713825182</v>
      </c>
      <c r="BY23" s="101">
        <f>BY15/BY18/218</f>
        <v>53.29177182102404</v>
      </c>
      <c r="BZ23" s="101">
        <f>BY23-BX23</f>
        <v>-12.853299561494154</v>
      </c>
      <c r="CA23" s="103">
        <f>BZ23/BY23</f>
        <v>-0.24118731883527697</v>
      </c>
      <c r="CC23" s="271" t="s">
        <v>31</v>
      </c>
      <c r="CD23" s="100">
        <f>CD15/CD18/28</f>
        <v>65.40850151536026</v>
      </c>
      <c r="CE23" s="101">
        <f>CE15/CE18/28</f>
        <v>39.57275510204082</v>
      </c>
      <c r="CF23" s="102">
        <f>CE23-CD23</f>
        <v>-25.835746413319434</v>
      </c>
      <c r="CG23" s="79">
        <f>CF23/CE23</f>
        <v>-0.6528670128400297</v>
      </c>
      <c r="CH23" s="100">
        <f>CH15/CH18/259</f>
        <v>66.0631187840214</v>
      </c>
      <c r="CI23" s="101">
        <f>CI15/CI18/246</f>
        <v>51.61338467070174</v>
      </c>
      <c r="CJ23" s="101">
        <f>CI23-CH23</f>
        <v>-14.449734113319657</v>
      </c>
      <c r="CK23" s="103">
        <f>CJ23/CI23</f>
        <v>-0.27996098697092475</v>
      </c>
      <c r="CM23" s="271" t="s">
        <v>31</v>
      </c>
      <c r="CN23" s="100">
        <f>CN15/CN18/28</f>
        <v>63.00470828725579</v>
      </c>
      <c r="CO23" s="101">
        <f>CO15/CO18/28</f>
        <v>58.70649825783972</v>
      </c>
      <c r="CP23" s="102">
        <f>CO23-CN23</f>
        <v>-4.298210029416069</v>
      </c>
      <c r="CQ23" s="79">
        <f>CP23/CO23</f>
        <v>-0.07321523437726218</v>
      </c>
      <c r="CR23" s="100">
        <f>CR15/CR18/287</f>
        <v>65.74949412786853</v>
      </c>
      <c r="CS23" s="101">
        <f>CS15/CS18/274</f>
        <v>52.266094238790416</v>
      </c>
      <c r="CT23" s="101">
        <f>CS23-CR23</f>
        <v>-13.483399889078115</v>
      </c>
      <c r="CU23" s="103">
        <f>CT23/CS23</f>
        <v>-0.25797603753354725</v>
      </c>
      <c r="CW23" s="271" t="s">
        <v>31</v>
      </c>
      <c r="CX23" s="100" t="e">
        <f>CX15/CX18/28</f>
        <v>#DIV/0!</v>
      </c>
      <c r="CY23" s="101" t="e">
        <f>CY15/CY18/28</f>
        <v>#DIV/0!</v>
      </c>
      <c r="CZ23" s="102" t="e">
        <f>CY23-CX23</f>
        <v>#DIV/0!</v>
      </c>
      <c r="DA23" s="79" t="e">
        <f>CZ23/CY23</f>
        <v>#DIV/0!</v>
      </c>
      <c r="DB23" s="100">
        <f>DB15/DB18/315</f>
        <v>73.41042567931291</v>
      </c>
      <c r="DC23" s="101">
        <f>DC15/DC18/302</f>
        <v>58.06454263245033</v>
      </c>
      <c r="DD23" s="101">
        <f>DC23-DB23</f>
        <v>-15.345883046862575</v>
      </c>
      <c r="DE23" s="103">
        <f>DD23/DC23</f>
        <v>-0.2642900873946826</v>
      </c>
      <c r="DG23" s="271" t="s">
        <v>31</v>
      </c>
      <c r="DH23" s="100" t="e">
        <f>DH15/DH18/28</f>
        <v>#DIV/0!</v>
      </c>
      <c r="DI23" s="101">
        <f>DI15/DI18/28</f>
        <v>51.274932614555254</v>
      </c>
      <c r="DJ23" s="102" t="e">
        <f>DI23-DH23</f>
        <v>#DIV/0!</v>
      </c>
      <c r="DK23" s="79" t="e">
        <f>DJ23/DI23</f>
        <v>#DIV/0!</v>
      </c>
      <c r="DL23" s="100">
        <f>DL15/DL18/343</f>
        <v>80.2348991398743</v>
      </c>
      <c r="DM23" s="101">
        <f>DM15/DM18/330</f>
        <v>57.35908256214843</v>
      </c>
      <c r="DN23" s="101">
        <f>DM23-DL23</f>
        <v>-22.87581657772587</v>
      </c>
      <c r="DO23" s="103">
        <f>DN23/DM23</f>
        <v>-0.3988176859861728</v>
      </c>
      <c r="DQ23" s="271" t="s">
        <v>31</v>
      </c>
      <c r="DR23" s="100" t="e">
        <f>DR15/DR18/22</f>
        <v>#DIV/0!</v>
      </c>
      <c r="DS23" s="101">
        <f>DS15/DS18/35</f>
        <v>25.39799498746867</v>
      </c>
      <c r="DT23" s="102" t="e">
        <f>DS23-DR23</f>
        <v>#DIV/0!</v>
      </c>
      <c r="DU23" s="79" t="e">
        <f>DT23/DS23</f>
        <v>#DIV/0!</v>
      </c>
      <c r="DV23" s="100">
        <f>DV15/DV18/365</f>
        <v>87.12095077001946</v>
      </c>
      <c r="DW23" s="100">
        <f>DW15/DW18/365</f>
        <v>53.67574448863358</v>
      </c>
      <c r="DX23" s="101">
        <f>DW23-DV23</f>
        <v>-33.44520628138588</v>
      </c>
      <c r="DY23" s="103">
        <f>DX23/DW23</f>
        <v>-0.6230972034019623</v>
      </c>
    </row>
    <row r="24" spans="1:129" ht="13.5" thickBot="1">
      <c r="A24" s="282" t="s">
        <v>32</v>
      </c>
      <c r="B24" s="104">
        <f>B15/B19/35</f>
        <v>36.79602791659487</v>
      </c>
      <c r="C24" s="105">
        <f>C15/C19/22</f>
        <v>48.8365533775208</v>
      </c>
      <c r="D24" s="106">
        <f>C24-B24</f>
        <v>12.040525460925927</v>
      </c>
      <c r="E24" s="107">
        <f>D24/C24</f>
        <v>0.24654740411038334</v>
      </c>
      <c r="F24" s="104">
        <f>F15/F19/35</f>
        <v>36.79602791659487</v>
      </c>
      <c r="G24" s="105">
        <f>G15/G19/22</f>
        <v>48.8365533775208</v>
      </c>
      <c r="H24" s="105">
        <f>G24-F24</f>
        <v>12.040525460925927</v>
      </c>
      <c r="I24" s="94">
        <f>H24/G24</f>
        <v>0.24654740411038334</v>
      </c>
      <c r="K24" s="282" t="s">
        <v>32</v>
      </c>
      <c r="L24" s="104">
        <f>L15/L19/28</f>
        <v>37.809273687123486</v>
      </c>
      <c r="M24" s="105">
        <f>M15/M19/28</f>
        <v>35.39205155746509</v>
      </c>
      <c r="N24" s="106">
        <f>M24-L24</f>
        <v>-2.4172221296583984</v>
      </c>
      <c r="O24" s="107">
        <f>N24/M24</f>
        <v>-0.06829844621280635</v>
      </c>
      <c r="P24" s="104">
        <f>P15/P19/63</f>
        <v>37.224819148974134</v>
      </c>
      <c r="Q24" s="105">
        <f>Q15/Q19/50</f>
        <v>41.43053978348096</v>
      </c>
      <c r="R24" s="105">
        <f>Q24-P24</f>
        <v>4.205720634506825</v>
      </c>
      <c r="S24" s="94">
        <f>R24/Q24</f>
        <v>0.10151257155919835</v>
      </c>
      <c r="U24" s="282" t="s">
        <v>32</v>
      </c>
      <c r="V24" s="104">
        <f>V15/V19/28</f>
        <v>41.52134716507887</v>
      </c>
      <c r="W24" s="105">
        <f>W15/W19/28</f>
        <v>24.192402119136837</v>
      </c>
      <c r="X24" s="106">
        <f>W24-V24</f>
        <v>-17.328945045942035</v>
      </c>
      <c r="Y24" s="107">
        <f>X24/W24</f>
        <v>-0.716296999388679</v>
      </c>
      <c r="Z24" s="104">
        <f>Z15/Z19/91</f>
        <v>38.54880237729602</v>
      </c>
      <c r="AA24" s="105">
        <f>AA15/AA19/78</f>
        <v>34.7448260160691</v>
      </c>
      <c r="AB24" s="105">
        <f>AA24-Z24</f>
        <v>-3.8039763612269226</v>
      </c>
      <c r="AC24" s="94">
        <f>AB24/AA24</f>
        <v>-0.1094832467852228</v>
      </c>
      <c r="AE24" s="282" t="s">
        <v>32</v>
      </c>
      <c r="AF24" s="104">
        <f>AF15/AF19/28</f>
        <v>37.388281667868185</v>
      </c>
      <c r="AG24" s="105">
        <f>AG15/AG19/28</f>
        <v>36.259817595505176</v>
      </c>
      <c r="AH24" s="106">
        <f>AG24-AF24</f>
        <v>-1.128464072363009</v>
      </c>
      <c r="AI24" s="107">
        <f>AH24/AG24</f>
        <v>-0.031121614701748946</v>
      </c>
      <c r="AJ24" s="104">
        <f>AJ15/AJ19/119</f>
        <v>38.33146423048221</v>
      </c>
      <c r="AK24" s="105">
        <f>AK15/AK19/106</f>
        <v>35.17181003873521</v>
      </c>
      <c r="AL24" s="105">
        <f>AK24-AJ24</f>
        <v>-3.159654191747002</v>
      </c>
      <c r="AM24" s="94">
        <f>AL24/AK24</f>
        <v>-0.08983484751757816</v>
      </c>
      <c r="AO24" s="282" t="s">
        <v>32</v>
      </c>
      <c r="AP24" s="104">
        <f>AP15/AP19/28</f>
        <v>35.83300950624602</v>
      </c>
      <c r="AQ24" s="105">
        <f>AQ15/AQ19/28</f>
        <v>36.934065934065934</v>
      </c>
      <c r="AR24" s="106">
        <f>AQ24-AP24</f>
        <v>1.1010564278199126</v>
      </c>
      <c r="AS24" s="107">
        <f>AR24/AQ24</f>
        <v>0.029811405811250236</v>
      </c>
      <c r="AT24" s="104">
        <f>AT15/AT19/147</f>
        <v>37.854161981236494</v>
      </c>
      <c r="AU24" s="105">
        <f>AU15/AU19/134</f>
        <v>35.57704547624351</v>
      </c>
      <c r="AV24" s="105">
        <f>AU24-AT24</f>
        <v>-2.277116504992982</v>
      </c>
      <c r="AW24" s="94">
        <f>AV24/AU24</f>
        <v>-0.06400521669269926</v>
      </c>
      <c r="AY24" s="282" t="s">
        <v>32</v>
      </c>
      <c r="AZ24" s="104">
        <f>AZ15/AZ19/28</f>
        <v>60.59094889263823</v>
      </c>
      <c r="BA24" s="105">
        <f>BA15/BA19/28</f>
        <v>32.23293768545994</v>
      </c>
      <c r="BB24" s="106">
        <f>BA24-AZ24</f>
        <v>-28.358011207178293</v>
      </c>
      <c r="BC24" s="107">
        <f>BB24/BA24</f>
        <v>-0.8797836388325971</v>
      </c>
      <c r="BD24" s="104">
        <f>BD15/BD19/175</f>
        <v>41.573689634424284</v>
      </c>
      <c r="BE24" s="105">
        <f>BE15/BE19/162</f>
        <v>34.98863720425335</v>
      </c>
      <c r="BF24" s="105">
        <f>BE24-BD24</f>
        <v>-6.585052430170933</v>
      </c>
      <c r="BG24" s="94">
        <f>BF24/BE24</f>
        <v>-0.18820545629512056</v>
      </c>
      <c r="BI24" s="282" t="s">
        <v>32</v>
      </c>
      <c r="BJ24" s="104">
        <f>BJ15/BJ19/28</f>
        <v>36.32151663254298</v>
      </c>
      <c r="BK24" s="104">
        <f>BK15/BK19/28</f>
        <v>27.115472690546188</v>
      </c>
      <c r="BL24" s="106">
        <f>BK24-BJ24</f>
        <v>-9.206043941996793</v>
      </c>
      <c r="BM24" s="107">
        <f>BL24/BK24</f>
        <v>-0.3395125745016601</v>
      </c>
      <c r="BN24" s="104">
        <f>BN15/BN19/203</f>
        <v>40.85433632167798</v>
      </c>
      <c r="BO24" s="105">
        <f>BO15/BO19/190</f>
        <v>33.83227016865884</v>
      </c>
      <c r="BP24" s="105">
        <f>BO24-BN24</f>
        <v>-7.022066153019139</v>
      </c>
      <c r="BQ24" s="94">
        <f>BP24/BO24</f>
        <v>-0.20755527542234406</v>
      </c>
      <c r="BS24" s="282" t="s">
        <v>32</v>
      </c>
      <c r="BT24" s="104">
        <f>BT15/BT19/28</f>
        <v>47.91556596528951</v>
      </c>
      <c r="BU24" s="104">
        <f>BU15/BU19/28</f>
        <v>28.31079456954406</v>
      </c>
      <c r="BV24" s="106">
        <f>BU24-BT24</f>
        <v>-19.60477139574545</v>
      </c>
      <c r="BW24" s="107">
        <f>BV24/BU24</f>
        <v>-0.6924839692360912</v>
      </c>
      <c r="BX24" s="104">
        <f>BX15/BX19/231</f>
        <v>41.709110656154266</v>
      </c>
      <c r="BY24" s="105">
        <f>BY15/BY19/218</f>
        <v>33.10507428757003</v>
      </c>
      <c r="BZ24" s="105">
        <f>BY24-BX24</f>
        <v>-8.60403636858424</v>
      </c>
      <c r="CA24" s="94">
        <f>BZ24/BY24</f>
        <v>-0.25990083253837615</v>
      </c>
      <c r="CC24" s="282" t="s">
        <v>32</v>
      </c>
      <c r="CD24" s="104">
        <f>CD15/CD19/28</f>
        <v>40.9964436817338</v>
      </c>
      <c r="CE24" s="105">
        <f>CE15/CE19/28</f>
        <v>26.58802961744138</v>
      </c>
      <c r="CF24" s="106">
        <f>CE24-CD24</f>
        <v>-14.408414064292423</v>
      </c>
      <c r="CG24" s="107">
        <f>CF24/CE24</f>
        <v>-0.5419135705656316</v>
      </c>
      <c r="CH24" s="104">
        <f>CH15/CH19/259</f>
        <v>41.62921478254936</v>
      </c>
      <c r="CI24" s="105">
        <f>CI15/CI19/246</f>
        <v>32.35624903497313</v>
      </c>
      <c r="CJ24" s="105">
        <f>CI24-CH24</f>
        <v>-9.27296574757623</v>
      </c>
      <c r="CK24" s="94">
        <f>CJ24/CI24</f>
        <v>-0.286589639533102</v>
      </c>
      <c r="CM24" s="282" t="s">
        <v>32</v>
      </c>
      <c r="CN24" s="104">
        <f>CN15/CN19/28</f>
        <v>40.08792110874201</v>
      </c>
      <c r="CO24" s="105">
        <f>CO15/CO19/28</f>
        <v>33.90093561368209</v>
      </c>
      <c r="CP24" s="106">
        <f>CO24-CN24</f>
        <v>-6.186985495059922</v>
      </c>
      <c r="CQ24" s="107">
        <f>CP24/CO24</f>
        <v>-0.18250190984590156</v>
      </c>
      <c r="CR24" s="104">
        <f>CR15/CR19/287</f>
        <v>41.47278872423582</v>
      </c>
      <c r="CS24" s="105">
        <f>CS15/CS19/274</f>
        <v>32.5107399288812</v>
      </c>
      <c r="CT24" s="105">
        <f>CS24-CR24</f>
        <v>-8.962048795354619</v>
      </c>
      <c r="CU24" s="94">
        <f>CT24/CS24</f>
        <v>-0.2756642517198787</v>
      </c>
      <c r="CW24" s="282" t="s">
        <v>32</v>
      </c>
      <c r="CX24" s="104" t="e">
        <f>CX15/CX19/28</f>
        <v>#DIV/0!</v>
      </c>
      <c r="CY24" s="105" t="e">
        <f>CY15/CY19/28</f>
        <v>#DIV/0!</v>
      </c>
      <c r="CZ24" s="106" t="e">
        <f>CY24-CX24</f>
        <v>#DIV/0!</v>
      </c>
      <c r="DA24" s="107" t="e">
        <f>CZ24/CY24</f>
        <v>#DIV/0!</v>
      </c>
      <c r="DB24" s="104">
        <f>DB15/DB19/315</f>
        <v>46.305072225094214</v>
      </c>
      <c r="DC24" s="105">
        <f>DC15/DC19/302</f>
        <v>36.11751121077676</v>
      </c>
      <c r="DD24" s="105">
        <f>DC24-DB24</f>
        <v>-10.187561014317453</v>
      </c>
      <c r="DE24" s="94">
        <f>DD24/DC24</f>
        <v>-0.2820670824981341</v>
      </c>
      <c r="DG24" s="282" t="s">
        <v>32</v>
      </c>
      <c r="DH24" s="104" t="e">
        <f>DH15/DH19/28</f>
        <v>#DIV/0!</v>
      </c>
      <c r="DI24" s="105">
        <f>DI15/DI19/28</f>
        <v>38.31342772552416</v>
      </c>
      <c r="DJ24" s="106" t="e">
        <f>DI24-DH24</f>
        <v>#DIV/0!</v>
      </c>
      <c r="DK24" s="107" t="e">
        <f>DJ24/DI24</f>
        <v>#DIV/0!</v>
      </c>
      <c r="DL24" s="104">
        <f>DL15/DL19/343</f>
        <v>50.60974330641972</v>
      </c>
      <c r="DM24" s="105">
        <f>DM15/DM19/330</f>
        <v>36.32248895752611</v>
      </c>
      <c r="DN24" s="105">
        <f>DM24-DL24</f>
        <v>-14.287254348893612</v>
      </c>
      <c r="DO24" s="94">
        <f>DN24/DM24</f>
        <v>-0.3933445851026477</v>
      </c>
      <c r="DQ24" s="282" t="s">
        <v>32</v>
      </c>
      <c r="DR24" s="104" t="e">
        <f>DR15/DR19/22</f>
        <v>#DIV/0!</v>
      </c>
      <c r="DS24" s="105">
        <f>DS15/DS19/35</f>
        <v>19.494825131776384</v>
      </c>
      <c r="DT24" s="106" t="e">
        <f>DS24-DR24</f>
        <v>#DIV/0!</v>
      </c>
      <c r="DU24" s="107" t="e">
        <f>DT24/DS24</f>
        <v>#DIV/0!</v>
      </c>
      <c r="DV24" s="104">
        <f>DV15/DV19/365</f>
        <v>54.95325603133577</v>
      </c>
      <c r="DW24" s="104">
        <f>DW15/DW19/365</f>
        <v>34.60870493478026</v>
      </c>
      <c r="DX24" s="105">
        <f>DW24-DV24</f>
        <v>-20.344551096555506</v>
      </c>
      <c r="DY24" s="94">
        <f>DX24/DW24</f>
        <v>-0.5878449117034167</v>
      </c>
    </row>
  </sheetData>
  <sheetProtection/>
  <mergeCells count="78">
    <mergeCell ref="A1:I1"/>
    <mergeCell ref="A2:I2"/>
    <mergeCell ref="A3:I3"/>
    <mergeCell ref="G11:I11"/>
    <mergeCell ref="C11:E11"/>
    <mergeCell ref="A9:I9"/>
    <mergeCell ref="U1:AC1"/>
    <mergeCell ref="U2:AC2"/>
    <mergeCell ref="U3:AC3"/>
    <mergeCell ref="U9:AC9"/>
    <mergeCell ref="K1:S1"/>
    <mergeCell ref="K2:S2"/>
    <mergeCell ref="K3:S3"/>
    <mergeCell ref="K9:S9"/>
    <mergeCell ref="M11:O11"/>
    <mergeCell ref="Q11:S11"/>
    <mergeCell ref="W11:Y11"/>
    <mergeCell ref="AA11:AC11"/>
    <mergeCell ref="AG11:AI11"/>
    <mergeCell ref="AK11:AM11"/>
    <mergeCell ref="AQ11:AS11"/>
    <mergeCell ref="AU11:AW11"/>
    <mergeCell ref="AE1:AM1"/>
    <mergeCell ref="AE2:AM2"/>
    <mergeCell ref="AO1:AW1"/>
    <mergeCell ref="AO2:AW2"/>
    <mergeCell ref="AO3:AW3"/>
    <mergeCell ref="AO9:AW9"/>
    <mergeCell ref="AE3:AM3"/>
    <mergeCell ref="AE9:AM9"/>
    <mergeCell ref="BI1:BQ1"/>
    <mergeCell ref="BI2:BQ2"/>
    <mergeCell ref="BI3:BQ3"/>
    <mergeCell ref="BI9:BQ9"/>
    <mergeCell ref="AY1:BG1"/>
    <mergeCell ref="AY2:BG2"/>
    <mergeCell ref="AY3:BG3"/>
    <mergeCell ref="AY9:BG9"/>
    <mergeCell ref="BA11:BC11"/>
    <mergeCell ref="BE11:BG11"/>
    <mergeCell ref="BK11:BM11"/>
    <mergeCell ref="BO11:BQ11"/>
    <mergeCell ref="BU11:BW11"/>
    <mergeCell ref="BY11:CA11"/>
    <mergeCell ref="CE11:CG11"/>
    <mergeCell ref="CI11:CK11"/>
    <mergeCell ref="BS1:CA1"/>
    <mergeCell ref="BS2:CA2"/>
    <mergeCell ref="CC1:CK1"/>
    <mergeCell ref="CC2:CK2"/>
    <mergeCell ref="CC3:CK3"/>
    <mergeCell ref="CC9:CK9"/>
    <mergeCell ref="BS3:CA3"/>
    <mergeCell ref="BS9:CA9"/>
    <mergeCell ref="CW1:DE1"/>
    <mergeCell ref="CW2:DE2"/>
    <mergeCell ref="CW3:DE3"/>
    <mergeCell ref="CW9:DE9"/>
    <mergeCell ref="CM1:CU1"/>
    <mergeCell ref="CM2:CU2"/>
    <mergeCell ref="CM3:CU3"/>
    <mergeCell ref="CM9:CU9"/>
    <mergeCell ref="CO11:CQ11"/>
    <mergeCell ref="CS11:CU11"/>
    <mergeCell ref="CY11:DA11"/>
    <mergeCell ref="DC11:DE11"/>
    <mergeCell ref="DI11:DK11"/>
    <mergeCell ref="DM11:DO11"/>
    <mergeCell ref="DS11:DU11"/>
    <mergeCell ref="DW11:DY11"/>
    <mergeCell ref="DG1:DO1"/>
    <mergeCell ref="DG2:DO2"/>
    <mergeCell ref="DQ1:DY1"/>
    <mergeCell ref="DQ2:DY2"/>
    <mergeCell ref="DQ3:DY3"/>
    <mergeCell ref="DQ9:DY9"/>
    <mergeCell ref="DG3:DO3"/>
    <mergeCell ref="DG9:DO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Header>&amp;C&amp;14Cité de la Santé de Laval
</oddHeader>
    <oddFooter>&amp;L&amp;F&amp;C&amp;P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9.140625" style="0" customWidth="1"/>
    <col min="2" max="9" width="8.7109375" style="0" customWidth="1"/>
    <col min="10" max="10" width="19.140625" style="0" customWidth="1"/>
    <col min="11" max="18" width="8.7109375" style="0" customWidth="1"/>
    <col min="19" max="19" width="19.140625" style="0" customWidth="1"/>
    <col min="20" max="27" width="8.7109375" style="0" customWidth="1"/>
    <col min="28" max="28" width="19.140625" style="0" customWidth="1"/>
    <col min="29" max="36" width="8.7109375" style="0" customWidth="1"/>
    <col min="37" max="37" width="19.140625" style="0" customWidth="1"/>
    <col min="38" max="45" width="8.7109375" style="0" customWidth="1"/>
    <col min="46" max="46" width="19.140625" style="0" customWidth="1"/>
    <col min="47" max="54" width="8.7109375" style="0" customWidth="1"/>
    <col min="55" max="55" width="19.00390625" style="0" customWidth="1"/>
    <col min="56" max="63" width="8.7109375" style="0" customWidth="1"/>
    <col min="64" max="64" width="19.140625" style="0" customWidth="1"/>
    <col min="65" max="72" width="8.7109375" style="0" customWidth="1"/>
    <col min="73" max="73" width="19.140625" style="0" customWidth="1"/>
    <col min="74" max="81" width="8.7109375" style="0" customWidth="1"/>
    <col min="82" max="82" width="19.140625" style="0" customWidth="1"/>
    <col min="83" max="90" width="8.7109375" style="0" customWidth="1"/>
    <col min="91" max="91" width="19.140625" style="0" customWidth="1"/>
    <col min="92" max="99" width="8.7109375" style="0" customWidth="1"/>
    <col min="100" max="100" width="19.140625" style="0" customWidth="1"/>
    <col min="101" max="108" width="8.7109375" style="0" customWidth="1"/>
    <col min="109" max="109" width="19.140625" style="0" customWidth="1"/>
    <col min="110" max="117" width="8.7109375" style="0" customWidth="1"/>
  </cols>
  <sheetData>
    <row r="1" spans="1:117" s="70" customFormat="1" ht="12.75">
      <c r="A1" s="495" t="s">
        <v>127</v>
      </c>
      <c r="B1" s="495"/>
      <c r="C1" s="495"/>
      <c r="D1" s="495"/>
      <c r="E1" s="495"/>
      <c r="F1" s="495"/>
      <c r="G1" s="495"/>
      <c r="H1" s="495"/>
      <c r="I1" s="495"/>
      <c r="J1" s="495" t="s">
        <v>127</v>
      </c>
      <c r="K1" s="495"/>
      <c r="L1" s="495"/>
      <c r="M1" s="495"/>
      <c r="N1" s="495"/>
      <c r="O1" s="495"/>
      <c r="P1" s="495"/>
      <c r="Q1" s="495"/>
      <c r="R1" s="495"/>
      <c r="S1" s="495" t="s">
        <v>127</v>
      </c>
      <c r="T1" s="495"/>
      <c r="U1" s="495"/>
      <c r="V1" s="495"/>
      <c r="W1" s="495"/>
      <c r="X1" s="495"/>
      <c r="Y1" s="495"/>
      <c r="Z1" s="495"/>
      <c r="AA1" s="495"/>
      <c r="AB1" s="495" t="s">
        <v>127</v>
      </c>
      <c r="AC1" s="495"/>
      <c r="AD1" s="495"/>
      <c r="AE1" s="495"/>
      <c r="AF1" s="495"/>
      <c r="AG1" s="495"/>
      <c r="AH1" s="495"/>
      <c r="AI1" s="495"/>
      <c r="AJ1" s="495"/>
      <c r="AK1" s="495" t="s">
        <v>127</v>
      </c>
      <c r="AL1" s="495"/>
      <c r="AM1" s="495"/>
      <c r="AN1" s="495"/>
      <c r="AO1" s="495"/>
      <c r="AP1" s="495"/>
      <c r="AQ1" s="495"/>
      <c r="AR1" s="495"/>
      <c r="AS1" s="495"/>
      <c r="AT1" s="495" t="s">
        <v>127</v>
      </c>
      <c r="AU1" s="495"/>
      <c r="AV1" s="495"/>
      <c r="AW1" s="495"/>
      <c r="AX1" s="495"/>
      <c r="AY1" s="495"/>
      <c r="AZ1" s="495"/>
      <c r="BA1" s="495"/>
      <c r="BB1" s="495"/>
      <c r="BC1" s="495" t="s">
        <v>127</v>
      </c>
      <c r="BD1" s="495"/>
      <c r="BE1" s="495"/>
      <c r="BF1" s="495"/>
      <c r="BG1" s="495"/>
      <c r="BH1" s="495"/>
      <c r="BI1" s="495"/>
      <c r="BJ1" s="495"/>
      <c r="BK1" s="495"/>
      <c r="BL1" s="495" t="s">
        <v>127</v>
      </c>
      <c r="BM1" s="495"/>
      <c r="BN1" s="495"/>
      <c r="BO1" s="495"/>
      <c r="BP1" s="495"/>
      <c r="BQ1" s="495"/>
      <c r="BR1" s="495"/>
      <c r="BS1" s="495"/>
      <c r="BT1" s="495"/>
      <c r="BU1" s="495" t="s">
        <v>127</v>
      </c>
      <c r="BV1" s="495"/>
      <c r="BW1" s="495"/>
      <c r="BX1" s="495"/>
      <c r="BY1" s="495"/>
      <c r="BZ1" s="495"/>
      <c r="CA1" s="495"/>
      <c r="CB1" s="495"/>
      <c r="CC1" s="495"/>
      <c r="CD1" s="495" t="s">
        <v>127</v>
      </c>
      <c r="CE1" s="495"/>
      <c r="CF1" s="495"/>
      <c r="CG1" s="495"/>
      <c r="CH1" s="495"/>
      <c r="CI1" s="495"/>
      <c r="CJ1" s="495"/>
      <c r="CK1" s="495"/>
      <c r="CL1" s="495"/>
      <c r="CM1" s="495" t="s">
        <v>127</v>
      </c>
      <c r="CN1" s="495"/>
      <c r="CO1" s="495"/>
      <c r="CP1" s="495"/>
      <c r="CQ1" s="495"/>
      <c r="CR1" s="495"/>
      <c r="CS1" s="495"/>
      <c r="CT1" s="495"/>
      <c r="CU1" s="495"/>
      <c r="CV1" s="495" t="s">
        <v>127</v>
      </c>
      <c r="CW1" s="495"/>
      <c r="CX1" s="495"/>
      <c r="CY1" s="495"/>
      <c r="CZ1" s="495"/>
      <c r="DA1" s="495"/>
      <c r="DB1" s="495"/>
      <c r="DC1" s="495"/>
      <c r="DD1" s="495"/>
      <c r="DE1" s="495" t="s">
        <v>127</v>
      </c>
      <c r="DF1" s="495"/>
      <c r="DG1" s="495"/>
      <c r="DH1" s="495"/>
      <c r="DI1" s="495"/>
      <c r="DJ1" s="495"/>
      <c r="DK1" s="495"/>
      <c r="DL1" s="495"/>
      <c r="DM1" s="495"/>
    </row>
    <row r="2" spans="1:117" s="70" customFormat="1" ht="12.75">
      <c r="A2" s="495" t="s">
        <v>207</v>
      </c>
      <c r="B2" s="495"/>
      <c r="C2" s="495"/>
      <c r="D2" s="495"/>
      <c r="E2" s="495"/>
      <c r="F2" s="495"/>
      <c r="G2" s="495"/>
      <c r="H2" s="495"/>
      <c r="I2" s="495"/>
      <c r="J2" s="495" t="s">
        <v>218</v>
      </c>
      <c r="K2" s="495"/>
      <c r="L2" s="495"/>
      <c r="M2" s="495"/>
      <c r="N2" s="495"/>
      <c r="O2" s="495"/>
      <c r="P2" s="495"/>
      <c r="Q2" s="495"/>
      <c r="R2" s="495"/>
      <c r="S2" s="495" t="s">
        <v>227</v>
      </c>
      <c r="T2" s="495"/>
      <c r="U2" s="495"/>
      <c r="V2" s="495"/>
      <c r="W2" s="495"/>
      <c r="X2" s="495"/>
      <c r="Y2" s="495"/>
      <c r="Z2" s="495"/>
      <c r="AA2" s="495"/>
      <c r="AB2" s="495" t="s">
        <v>252</v>
      </c>
      <c r="AC2" s="495"/>
      <c r="AD2" s="495"/>
      <c r="AE2" s="495"/>
      <c r="AF2" s="495"/>
      <c r="AG2" s="495"/>
      <c r="AH2" s="495"/>
      <c r="AI2" s="495"/>
      <c r="AJ2" s="495"/>
      <c r="AK2" s="495" t="s">
        <v>248</v>
      </c>
      <c r="AL2" s="495"/>
      <c r="AM2" s="495"/>
      <c r="AN2" s="495"/>
      <c r="AO2" s="495"/>
      <c r="AP2" s="495"/>
      <c r="AQ2" s="495"/>
      <c r="AR2" s="495"/>
      <c r="AS2" s="495"/>
      <c r="AT2" s="495" t="s">
        <v>249</v>
      </c>
      <c r="AU2" s="495"/>
      <c r="AV2" s="495"/>
      <c r="AW2" s="495"/>
      <c r="AX2" s="495"/>
      <c r="AY2" s="495"/>
      <c r="AZ2" s="495"/>
      <c r="BA2" s="495"/>
      <c r="BB2" s="495"/>
      <c r="BC2" s="495" t="s">
        <v>250</v>
      </c>
      <c r="BD2" s="495"/>
      <c r="BE2" s="495"/>
      <c r="BF2" s="495"/>
      <c r="BG2" s="495"/>
      <c r="BH2" s="495"/>
      <c r="BI2" s="495"/>
      <c r="BJ2" s="495"/>
      <c r="BK2" s="495"/>
      <c r="BL2" s="495" t="s">
        <v>251</v>
      </c>
      <c r="BM2" s="495"/>
      <c r="BN2" s="495"/>
      <c r="BO2" s="495"/>
      <c r="BP2" s="495"/>
      <c r="BQ2" s="495"/>
      <c r="BR2" s="495"/>
      <c r="BS2" s="495"/>
      <c r="BT2" s="495"/>
      <c r="BU2" s="495" t="s">
        <v>254</v>
      </c>
      <c r="BV2" s="495"/>
      <c r="BW2" s="495"/>
      <c r="BX2" s="495"/>
      <c r="BY2" s="495"/>
      <c r="BZ2" s="495"/>
      <c r="CA2" s="495"/>
      <c r="CB2" s="495"/>
      <c r="CC2" s="495"/>
      <c r="CD2" s="495" t="s">
        <v>255</v>
      </c>
      <c r="CE2" s="495"/>
      <c r="CF2" s="495"/>
      <c r="CG2" s="495"/>
      <c r="CH2" s="495"/>
      <c r="CI2" s="495"/>
      <c r="CJ2" s="495"/>
      <c r="CK2" s="495"/>
      <c r="CL2" s="495"/>
      <c r="CM2" s="495" t="s">
        <v>256</v>
      </c>
      <c r="CN2" s="495"/>
      <c r="CO2" s="495"/>
      <c r="CP2" s="495"/>
      <c r="CQ2" s="495"/>
      <c r="CR2" s="495"/>
      <c r="CS2" s="495"/>
      <c r="CT2" s="495"/>
      <c r="CU2" s="495"/>
      <c r="CV2" s="495" t="s">
        <v>257</v>
      </c>
      <c r="CW2" s="495"/>
      <c r="CX2" s="495"/>
      <c r="CY2" s="495"/>
      <c r="CZ2" s="495"/>
      <c r="DA2" s="495"/>
      <c r="DB2" s="495"/>
      <c r="DC2" s="495"/>
      <c r="DD2" s="495"/>
      <c r="DE2" s="495" t="s">
        <v>258</v>
      </c>
      <c r="DF2" s="495"/>
      <c r="DG2" s="495"/>
      <c r="DH2" s="495"/>
      <c r="DI2" s="495"/>
      <c r="DJ2" s="495"/>
      <c r="DK2" s="495"/>
      <c r="DL2" s="495"/>
      <c r="DM2" s="495"/>
    </row>
    <row r="3" spans="1:117" s="70" customFormat="1" ht="12.75">
      <c r="A3" s="496" t="s">
        <v>182</v>
      </c>
      <c r="B3" s="496"/>
      <c r="C3" s="496"/>
      <c r="D3" s="496"/>
      <c r="E3" s="496"/>
      <c r="F3" s="496"/>
      <c r="G3" s="496"/>
      <c r="H3" s="496"/>
      <c r="I3" s="496"/>
      <c r="J3" s="496" t="s">
        <v>182</v>
      </c>
      <c r="K3" s="496"/>
      <c r="L3" s="496"/>
      <c r="M3" s="496"/>
      <c r="N3" s="496"/>
      <c r="O3" s="496"/>
      <c r="P3" s="496"/>
      <c r="Q3" s="496"/>
      <c r="R3" s="496"/>
      <c r="S3" s="496" t="s">
        <v>182</v>
      </c>
      <c r="T3" s="496"/>
      <c r="U3" s="496"/>
      <c r="V3" s="496"/>
      <c r="W3" s="496"/>
      <c r="X3" s="496"/>
      <c r="Y3" s="496"/>
      <c r="Z3" s="496"/>
      <c r="AA3" s="496"/>
      <c r="AB3" s="496" t="s">
        <v>182</v>
      </c>
      <c r="AC3" s="496"/>
      <c r="AD3" s="496"/>
      <c r="AE3" s="496"/>
      <c r="AF3" s="496"/>
      <c r="AG3" s="496"/>
      <c r="AH3" s="496"/>
      <c r="AI3" s="496"/>
      <c r="AJ3" s="496"/>
      <c r="AK3" s="496" t="s">
        <v>182</v>
      </c>
      <c r="AL3" s="496"/>
      <c r="AM3" s="496"/>
      <c r="AN3" s="496"/>
      <c r="AO3" s="496"/>
      <c r="AP3" s="496"/>
      <c r="AQ3" s="496"/>
      <c r="AR3" s="496"/>
      <c r="AS3" s="496"/>
      <c r="AT3" s="496" t="s">
        <v>182</v>
      </c>
      <c r="AU3" s="496"/>
      <c r="AV3" s="496"/>
      <c r="AW3" s="496"/>
      <c r="AX3" s="496"/>
      <c r="AY3" s="496"/>
      <c r="AZ3" s="496"/>
      <c r="BA3" s="496"/>
      <c r="BB3" s="496"/>
      <c r="BC3" s="496" t="s">
        <v>182</v>
      </c>
      <c r="BD3" s="496"/>
      <c r="BE3" s="496"/>
      <c r="BF3" s="496"/>
      <c r="BG3" s="496"/>
      <c r="BH3" s="496"/>
      <c r="BI3" s="496"/>
      <c r="BJ3" s="496"/>
      <c r="BK3" s="496"/>
      <c r="BL3" s="496" t="s">
        <v>182</v>
      </c>
      <c r="BM3" s="496"/>
      <c r="BN3" s="496"/>
      <c r="BO3" s="496"/>
      <c r="BP3" s="496"/>
      <c r="BQ3" s="496"/>
      <c r="BR3" s="496"/>
      <c r="BS3" s="496"/>
      <c r="BT3" s="496"/>
      <c r="BU3" s="496" t="s">
        <v>182</v>
      </c>
      <c r="BV3" s="496"/>
      <c r="BW3" s="496"/>
      <c r="BX3" s="496"/>
      <c r="BY3" s="496"/>
      <c r="BZ3" s="496"/>
      <c r="CA3" s="496"/>
      <c r="CB3" s="496"/>
      <c r="CC3" s="496"/>
      <c r="CD3" s="496" t="s">
        <v>182</v>
      </c>
      <c r="CE3" s="496"/>
      <c r="CF3" s="496"/>
      <c r="CG3" s="496"/>
      <c r="CH3" s="496"/>
      <c r="CI3" s="496"/>
      <c r="CJ3" s="496"/>
      <c r="CK3" s="496"/>
      <c r="CL3" s="496"/>
      <c r="CM3" s="496" t="s">
        <v>182</v>
      </c>
      <c r="CN3" s="496"/>
      <c r="CO3" s="496"/>
      <c r="CP3" s="496"/>
      <c r="CQ3" s="496"/>
      <c r="CR3" s="496"/>
      <c r="CS3" s="496"/>
      <c r="CT3" s="496"/>
      <c r="CU3" s="496"/>
      <c r="CV3" s="496" t="s">
        <v>182</v>
      </c>
      <c r="CW3" s="496"/>
      <c r="CX3" s="496"/>
      <c r="CY3" s="496"/>
      <c r="CZ3" s="496"/>
      <c r="DA3" s="496"/>
      <c r="DB3" s="496"/>
      <c r="DC3" s="496"/>
      <c r="DD3" s="496"/>
      <c r="DE3" s="496" t="s">
        <v>182</v>
      </c>
      <c r="DF3" s="496"/>
      <c r="DG3" s="496"/>
      <c r="DH3" s="496"/>
      <c r="DI3" s="496"/>
      <c r="DJ3" s="496"/>
      <c r="DK3" s="496"/>
      <c r="DL3" s="496"/>
      <c r="DM3" s="496"/>
    </row>
    <row r="4" s="70" customFormat="1" ht="12.75"/>
    <row r="5" spans="1:112" s="70" customFormat="1" ht="12.75">
      <c r="A5" s="70" t="s">
        <v>129</v>
      </c>
      <c r="D5" s="70" t="s">
        <v>177</v>
      </c>
      <c r="J5" s="70" t="s">
        <v>129</v>
      </c>
      <c r="M5" s="70" t="s">
        <v>177</v>
      </c>
      <c r="S5" s="70" t="s">
        <v>129</v>
      </c>
      <c r="V5" s="70" t="s">
        <v>177</v>
      </c>
      <c r="AB5" s="70" t="s">
        <v>129</v>
      </c>
      <c r="AE5" s="70" t="s">
        <v>177</v>
      </c>
      <c r="AK5" s="70" t="s">
        <v>129</v>
      </c>
      <c r="AN5" s="70" t="s">
        <v>177</v>
      </c>
      <c r="AT5" s="70" t="s">
        <v>129</v>
      </c>
      <c r="AW5" s="70" t="s">
        <v>177</v>
      </c>
      <c r="BC5" s="70" t="s">
        <v>129</v>
      </c>
      <c r="BF5" s="70" t="s">
        <v>177</v>
      </c>
      <c r="BL5" s="70" t="s">
        <v>129</v>
      </c>
      <c r="BO5" s="70" t="s">
        <v>177</v>
      </c>
      <c r="BU5" s="70" t="s">
        <v>129</v>
      </c>
      <c r="BX5" s="70" t="s">
        <v>177</v>
      </c>
      <c r="CD5" s="70" t="s">
        <v>129</v>
      </c>
      <c r="CG5" s="70" t="s">
        <v>177</v>
      </c>
      <c r="CM5" s="70" t="s">
        <v>129</v>
      </c>
      <c r="CP5" s="70" t="s">
        <v>177</v>
      </c>
      <c r="CV5" s="70" t="s">
        <v>129</v>
      </c>
      <c r="CY5" s="70" t="s">
        <v>177</v>
      </c>
      <c r="DE5" s="70" t="s">
        <v>129</v>
      </c>
      <c r="DH5" s="70" t="s">
        <v>177</v>
      </c>
    </row>
    <row r="6" spans="1:113" s="70" customFormat="1" ht="12.75">
      <c r="A6" s="70" t="s">
        <v>130</v>
      </c>
      <c r="D6" s="70" t="s">
        <v>131</v>
      </c>
      <c r="E6" s="283"/>
      <c r="J6" s="70" t="s">
        <v>130</v>
      </c>
      <c r="M6" s="70" t="s">
        <v>131</v>
      </c>
      <c r="N6" s="283"/>
      <c r="S6" s="70" t="s">
        <v>130</v>
      </c>
      <c r="V6" s="70" t="s">
        <v>131</v>
      </c>
      <c r="W6" s="283"/>
      <c r="AB6" s="70" t="s">
        <v>130</v>
      </c>
      <c r="AE6" s="70" t="s">
        <v>131</v>
      </c>
      <c r="AF6" s="283"/>
      <c r="AK6" s="70" t="s">
        <v>130</v>
      </c>
      <c r="AN6" s="70" t="s">
        <v>131</v>
      </c>
      <c r="AO6" s="283"/>
      <c r="AT6" s="70" t="s">
        <v>130</v>
      </c>
      <c r="AW6" s="70" t="s">
        <v>131</v>
      </c>
      <c r="AX6" s="283"/>
      <c r="BC6" s="70" t="s">
        <v>130</v>
      </c>
      <c r="BF6" s="70" t="s">
        <v>131</v>
      </c>
      <c r="BG6" s="283"/>
      <c r="BL6" s="70" t="s">
        <v>130</v>
      </c>
      <c r="BO6" s="70" t="s">
        <v>131</v>
      </c>
      <c r="BP6" s="283"/>
      <c r="BU6" s="70" t="s">
        <v>130</v>
      </c>
      <c r="BX6" s="70" t="s">
        <v>131</v>
      </c>
      <c r="BY6" s="283"/>
      <c r="CD6" s="70" t="s">
        <v>130</v>
      </c>
      <c r="CG6" s="70" t="s">
        <v>131</v>
      </c>
      <c r="CH6" s="283"/>
      <c r="CM6" s="70" t="s">
        <v>130</v>
      </c>
      <c r="CP6" s="70" t="s">
        <v>131</v>
      </c>
      <c r="CQ6" s="283"/>
      <c r="CV6" s="70" t="s">
        <v>130</v>
      </c>
      <c r="CY6" s="70" t="s">
        <v>131</v>
      </c>
      <c r="CZ6" s="283"/>
      <c r="DE6" s="70" t="s">
        <v>130</v>
      </c>
      <c r="DH6" s="70" t="s">
        <v>131</v>
      </c>
      <c r="DI6" s="283"/>
    </row>
    <row r="9" spans="1:117" ht="12.75">
      <c r="A9" s="495" t="s">
        <v>176</v>
      </c>
      <c r="B9" s="495"/>
      <c r="C9" s="495"/>
      <c r="D9" s="495"/>
      <c r="E9" s="495"/>
      <c r="F9" s="495"/>
      <c r="G9" s="495"/>
      <c r="H9" s="495"/>
      <c r="I9" s="495"/>
      <c r="J9" s="495" t="s">
        <v>176</v>
      </c>
      <c r="K9" s="495"/>
      <c r="L9" s="495"/>
      <c r="M9" s="495"/>
      <c r="N9" s="495"/>
      <c r="O9" s="495"/>
      <c r="P9" s="495"/>
      <c r="Q9" s="495"/>
      <c r="R9" s="495"/>
      <c r="S9" s="495" t="s">
        <v>176</v>
      </c>
      <c r="T9" s="495"/>
      <c r="U9" s="495"/>
      <c r="V9" s="495"/>
      <c r="W9" s="495"/>
      <c r="X9" s="495"/>
      <c r="Y9" s="495"/>
      <c r="Z9" s="495"/>
      <c r="AA9" s="495"/>
      <c r="AB9" s="495" t="s">
        <v>176</v>
      </c>
      <c r="AC9" s="495"/>
      <c r="AD9" s="495"/>
      <c r="AE9" s="495"/>
      <c r="AF9" s="495"/>
      <c r="AG9" s="495"/>
      <c r="AH9" s="495"/>
      <c r="AI9" s="495"/>
      <c r="AJ9" s="495"/>
      <c r="AK9" s="495" t="s">
        <v>176</v>
      </c>
      <c r="AL9" s="495"/>
      <c r="AM9" s="495"/>
      <c r="AN9" s="495"/>
      <c r="AO9" s="495"/>
      <c r="AP9" s="495"/>
      <c r="AQ9" s="495"/>
      <c r="AR9" s="495"/>
      <c r="AS9" s="495"/>
      <c r="AT9" s="495" t="s">
        <v>176</v>
      </c>
      <c r="AU9" s="495"/>
      <c r="AV9" s="495"/>
      <c r="AW9" s="495"/>
      <c r="AX9" s="495"/>
      <c r="AY9" s="495"/>
      <c r="AZ9" s="495"/>
      <c r="BA9" s="495"/>
      <c r="BB9" s="495"/>
      <c r="BC9" s="495" t="s">
        <v>176</v>
      </c>
      <c r="BD9" s="495"/>
      <c r="BE9" s="495"/>
      <c r="BF9" s="495"/>
      <c r="BG9" s="495"/>
      <c r="BH9" s="495"/>
      <c r="BI9" s="495"/>
      <c r="BJ9" s="495"/>
      <c r="BK9" s="495"/>
      <c r="BL9" s="495" t="s">
        <v>176</v>
      </c>
      <c r="BM9" s="495"/>
      <c r="BN9" s="495"/>
      <c r="BO9" s="495"/>
      <c r="BP9" s="495"/>
      <c r="BQ9" s="495"/>
      <c r="BR9" s="495"/>
      <c r="BS9" s="495"/>
      <c r="BT9" s="495"/>
      <c r="BU9" s="495" t="s">
        <v>176</v>
      </c>
      <c r="BV9" s="495"/>
      <c r="BW9" s="495"/>
      <c r="BX9" s="495"/>
      <c r="BY9" s="495"/>
      <c r="BZ9" s="495"/>
      <c r="CA9" s="495"/>
      <c r="CB9" s="495"/>
      <c r="CC9" s="495"/>
      <c r="CD9" s="495" t="s">
        <v>176</v>
      </c>
      <c r="CE9" s="495"/>
      <c r="CF9" s="495"/>
      <c r="CG9" s="495"/>
      <c r="CH9" s="495"/>
      <c r="CI9" s="495"/>
      <c r="CJ9" s="495"/>
      <c r="CK9" s="495"/>
      <c r="CL9" s="495"/>
      <c r="CM9" s="495" t="s">
        <v>176</v>
      </c>
      <c r="CN9" s="495"/>
      <c r="CO9" s="495"/>
      <c r="CP9" s="495"/>
      <c r="CQ9" s="495"/>
      <c r="CR9" s="495"/>
      <c r="CS9" s="495"/>
      <c r="CT9" s="495"/>
      <c r="CU9" s="495"/>
      <c r="CV9" s="495" t="s">
        <v>176</v>
      </c>
      <c r="CW9" s="495"/>
      <c r="CX9" s="495"/>
      <c r="CY9" s="495"/>
      <c r="CZ9" s="495"/>
      <c r="DA9" s="495"/>
      <c r="DB9" s="495"/>
      <c r="DC9" s="495"/>
      <c r="DD9" s="495"/>
      <c r="DE9" s="495" t="s">
        <v>176</v>
      </c>
      <c r="DF9" s="495"/>
      <c r="DG9" s="495"/>
      <c r="DH9" s="495"/>
      <c r="DI9" s="495"/>
      <c r="DJ9" s="495"/>
      <c r="DK9" s="495"/>
      <c r="DL9" s="495"/>
      <c r="DM9" s="495"/>
    </row>
    <row r="10" ht="13.5" thickBot="1"/>
    <row r="11" spans="1:117" ht="13.5" thickBot="1">
      <c r="A11" s="1" t="s">
        <v>0</v>
      </c>
      <c r="B11" s="2"/>
      <c r="C11" s="3"/>
      <c r="D11" s="3"/>
      <c r="E11" s="3"/>
      <c r="F11" s="3"/>
      <c r="G11" s="3"/>
      <c r="H11" s="3"/>
      <c r="I11" s="147"/>
      <c r="J11" s="1" t="s">
        <v>0</v>
      </c>
      <c r="K11" s="2"/>
      <c r="L11" s="3"/>
      <c r="M11" s="3"/>
      <c r="N11" s="3"/>
      <c r="O11" s="3"/>
      <c r="P11" s="3"/>
      <c r="Q11" s="3"/>
      <c r="R11" s="147"/>
      <c r="S11" s="1" t="s">
        <v>0</v>
      </c>
      <c r="T11" s="2"/>
      <c r="U11" s="3"/>
      <c r="V11" s="3"/>
      <c r="W11" s="3"/>
      <c r="X11" s="3"/>
      <c r="Y11" s="3"/>
      <c r="Z11" s="3"/>
      <c r="AA11" s="147"/>
      <c r="AB11" s="1" t="s">
        <v>0</v>
      </c>
      <c r="AC11" s="2"/>
      <c r="AD11" s="3"/>
      <c r="AE11" s="3"/>
      <c r="AF11" s="3"/>
      <c r="AG11" s="3"/>
      <c r="AH11" s="3"/>
      <c r="AI11" s="3"/>
      <c r="AJ11" s="147"/>
      <c r="AK11" s="1" t="s">
        <v>0</v>
      </c>
      <c r="AL11" s="2"/>
      <c r="AM11" s="3"/>
      <c r="AN11" s="3"/>
      <c r="AO11" s="3"/>
      <c r="AP11" s="3"/>
      <c r="AQ11" s="3"/>
      <c r="AR11" s="3"/>
      <c r="AS11" s="147"/>
      <c r="AT11" s="1" t="s">
        <v>0</v>
      </c>
      <c r="AU11" s="2"/>
      <c r="AV11" s="3"/>
      <c r="AW11" s="3"/>
      <c r="AX11" s="3"/>
      <c r="AY11" s="3"/>
      <c r="AZ11" s="3"/>
      <c r="BA11" s="3"/>
      <c r="BB11" s="147"/>
      <c r="BC11" s="1" t="s">
        <v>0</v>
      </c>
      <c r="BD11" s="2"/>
      <c r="BE11" s="3"/>
      <c r="BF11" s="3"/>
      <c r="BG11" s="3"/>
      <c r="BH11" s="3"/>
      <c r="BI11" s="3"/>
      <c r="BJ11" s="3"/>
      <c r="BK11" s="147"/>
      <c r="BL11" s="1" t="s">
        <v>0</v>
      </c>
      <c r="BM11" s="2"/>
      <c r="BN11" s="3"/>
      <c r="BO11" s="3"/>
      <c r="BP11" s="3"/>
      <c r="BQ11" s="3"/>
      <c r="BR11" s="3"/>
      <c r="BS11" s="3"/>
      <c r="BT11" s="147"/>
      <c r="BU11" s="1" t="s">
        <v>0</v>
      </c>
      <c r="BV11" s="2"/>
      <c r="BW11" s="3"/>
      <c r="BX11" s="3"/>
      <c r="BY11" s="3"/>
      <c r="BZ11" s="3"/>
      <c r="CA11" s="3"/>
      <c r="CB11" s="3"/>
      <c r="CC11" s="147"/>
      <c r="CD11" s="1" t="s">
        <v>0</v>
      </c>
      <c r="CE11" s="2"/>
      <c r="CF11" s="3"/>
      <c r="CG11" s="3"/>
      <c r="CH11" s="3"/>
      <c r="CI11" s="3"/>
      <c r="CJ11" s="3"/>
      <c r="CK11" s="3"/>
      <c r="CL11" s="147"/>
      <c r="CM11" s="1" t="s">
        <v>0</v>
      </c>
      <c r="CN11" s="2"/>
      <c r="CO11" s="3"/>
      <c r="CP11" s="3"/>
      <c r="CQ11" s="3"/>
      <c r="CR11" s="3"/>
      <c r="CS11" s="3"/>
      <c r="CT11" s="3"/>
      <c r="CU11" s="147"/>
      <c r="CV11" s="1" t="s">
        <v>0</v>
      </c>
      <c r="CW11" s="2"/>
      <c r="CX11" s="3"/>
      <c r="CY11" s="3"/>
      <c r="CZ11" s="3"/>
      <c r="DA11" s="3"/>
      <c r="DB11" s="3"/>
      <c r="DC11" s="3"/>
      <c r="DD11" s="147"/>
      <c r="DE11" s="1" t="s">
        <v>0</v>
      </c>
      <c r="DF11" s="2"/>
      <c r="DG11" s="3"/>
      <c r="DH11" s="3"/>
      <c r="DI11" s="3"/>
      <c r="DJ11" s="3"/>
      <c r="DK11" s="3"/>
      <c r="DL11" s="3"/>
      <c r="DM11" s="147"/>
    </row>
    <row r="12" spans="1:117" ht="13.5" thickBot="1">
      <c r="A12" s="165"/>
      <c r="B12" s="5" t="s">
        <v>110</v>
      </c>
      <c r="C12" s="6" t="s">
        <v>110</v>
      </c>
      <c r="F12" s="508" t="s">
        <v>2</v>
      </c>
      <c r="G12" s="509"/>
      <c r="H12" s="123"/>
      <c r="I12" s="168"/>
      <c r="J12" s="165"/>
      <c r="K12" s="5" t="s">
        <v>113</v>
      </c>
      <c r="L12" s="6" t="s">
        <v>113</v>
      </c>
      <c r="O12" s="508" t="s">
        <v>2</v>
      </c>
      <c r="P12" s="509"/>
      <c r="Q12" s="123"/>
      <c r="R12" s="168"/>
      <c r="S12" s="165"/>
      <c r="T12" s="5" t="s">
        <v>114</v>
      </c>
      <c r="U12" s="6" t="s">
        <v>114</v>
      </c>
      <c r="X12" s="508" t="s">
        <v>2</v>
      </c>
      <c r="Y12" s="509"/>
      <c r="Z12" s="123"/>
      <c r="AA12" s="168"/>
      <c r="AB12" s="165"/>
      <c r="AC12" s="5" t="s">
        <v>115</v>
      </c>
      <c r="AD12" s="6" t="s">
        <v>115</v>
      </c>
      <c r="AG12" s="508" t="s">
        <v>2</v>
      </c>
      <c r="AH12" s="509"/>
      <c r="AI12" s="123"/>
      <c r="AJ12" s="168"/>
      <c r="AK12" s="165"/>
      <c r="AL12" s="5" t="s">
        <v>116</v>
      </c>
      <c r="AM12" s="6" t="s">
        <v>116</v>
      </c>
      <c r="AP12" s="508" t="s">
        <v>2</v>
      </c>
      <c r="AQ12" s="509"/>
      <c r="AR12" s="123"/>
      <c r="AS12" s="168"/>
      <c r="AT12" s="165"/>
      <c r="AU12" s="5" t="s">
        <v>117</v>
      </c>
      <c r="AV12" s="6" t="s">
        <v>117</v>
      </c>
      <c r="AY12" s="508" t="s">
        <v>2</v>
      </c>
      <c r="AZ12" s="509"/>
      <c r="BA12" s="123"/>
      <c r="BB12" s="168"/>
      <c r="BC12" s="165"/>
      <c r="BD12" s="5" t="s">
        <v>118</v>
      </c>
      <c r="BE12" s="6" t="s">
        <v>118</v>
      </c>
      <c r="BH12" s="508" t="s">
        <v>2</v>
      </c>
      <c r="BI12" s="509"/>
      <c r="BJ12" s="123"/>
      <c r="BK12" s="168"/>
      <c r="BL12" s="165"/>
      <c r="BM12" s="5" t="s">
        <v>119</v>
      </c>
      <c r="BN12" s="6" t="s">
        <v>119</v>
      </c>
      <c r="BQ12" s="508" t="s">
        <v>2</v>
      </c>
      <c r="BR12" s="509"/>
      <c r="BS12" s="123"/>
      <c r="BT12" s="168"/>
      <c r="BU12" s="165"/>
      <c r="BV12" s="5" t="s">
        <v>120</v>
      </c>
      <c r="BW12" s="6" t="s">
        <v>120</v>
      </c>
      <c r="BZ12" s="508" t="s">
        <v>2</v>
      </c>
      <c r="CA12" s="509"/>
      <c r="CB12" s="123"/>
      <c r="CC12" s="168"/>
      <c r="CD12" s="165"/>
      <c r="CE12" s="5" t="s">
        <v>121</v>
      </c>
      <c r="CF12" s="6" t="s">
        <v>121</v>
      </c>
      <c r="CI12" s="508" t="s">
        <v>2</v>
      </c>
      <c r="CJ12" s="509"/>
      <c r="CK12" s="123"/>
      <c r="CL12" s="168"/>
      <c r="CM12" s="165"/>
      <c r="CN12" s="5" t="s">
        <v>122</v>
      </c>
      <c r="CO12" s="6" t="s">
        <v>122</v>
      </c>
      <c r="CR12" s="508" t="s">
        <v>2</v>
      </c>
      <c r="CS12" s="509"/>
      <c r="CT12" s="123"/>
      <c r="CU12" s="168"/>
      <c r="CV12" s="165"/>
      <c r="CW12" s="5" t="s">
        <v>123</v>
      </c>
      <c r="CX12" s="5" t="s">
        <v>123</v>
      </c>
      <c r="DA12" s="508" t="s">
        <v>2</v>
      </c>
      <c r="DB12" s="509"/>
      <c r="DC12" s="123"/>
      <c r="DD12" s="168"/>
      <c r="DE12" s="165"/>
      <c r="DF12" s="5" t="s">
        <v>1</v>
      </c>
      <c r="DG12" s="6" t="s">
        <v>1</v>
      </c>
      <c r="DJ12" s="508" t="s">
        <v>2</v>
      </c>
      <c r="DK12" s="509"/>
      <c r="DL12" s="123"/>
      <c r="DM12" s="153"/>
    </row>
    <row r="13" spans="1:117" ht="13.5" thickBot="1">
      <c r="A13" s="166"/>
      <c r="B13" s="154" t="s">
        <v>201</v>
      </c>
      <c r="C13" s="346" t="s">
        <v>67</v>
      </c>
      <c r="D13" s="510" t="s">
        <v>196</v>
      </c>
      <c r="E13" s="511"/>
      <c r="F13" s="10"/>
      <c r="G13" s="11"/>
      <c r="H13" s="151" t="s">
        <v>7</v>
      </c>
      <c r="I13" s="169"/>
      <c r="J13" s="166"/>
      <c r="K13" s="154" t="s">
        <v>201</v>
      </c>
      <c r="L13" s="346" t="s">
        <v>67</v>
      </c>
      <c r="M13" s="510" t="s">
        <v>219</v>
      </c>
      <c r="N13" s="511"/>
      <c r="O13" s="10"/>
      <c r="P13" s="11"/>
      <c r="Q13" s="151" t="s">
        <v>7</v>
      </c>
      <c r="R13" s="169"/>
      <c r="S13" s="166"/>
      <c r="T13" s="154" t="s">
        <v>201</v>
      </c>
      <c r="U13" s="346" t="s">
        <v>67</v>
      </c>
      <c r="V13" s="510" t="s">
        <v>196</v>
      </c>
      <c r="W13" s="511"/>
      <c r="X13" s="10"/>
      <c r="Y13" s="11"/>
      <c r="Z13" s="151" t="s">
        <v>7</v>
      </c>
      <c r="AA13" s="169"/>
      <c r="AB13" s="166"/>
      <c r="AC13" s="154" t="s">
        <v>201</v>
      </c>
      <c r="AD13" s="346" t="s">
        <v>67</v>
      </c>
      <c r="AE13" s="510" t="s">
        <v>196</v>
      </c>
      <c r="AF13" s="511"/>
      <c r="AG13" s="10"/>
      <c r="AH13" s="11"/>
      <c r="AI13" s="151" t="s">
        <v>7</v>
      </c>
      <c r="AJ13" s="169"/>
      <c r="AK13" s="166"/>
      <c r="AL13" s="154" t="s">
        <v>201</v>
      </c>
      <c r="AM13" s="346" t="s">
        <v>67</v>
      </c>
      <c r="AN13" s="510" t="s">
        <v>196</v>
      </c>
      <c r="AO13" s="511"/>
      <c r="AP13" s="10"/>
      <c r="AQ13" s="11"/>
      <c r="AR13" s="151" t="s">
        <v>7</v>
      </c>
      <c r="AS13" s="169"/>
      <c r="AT13" s="166"/>
      <c r="AU13" s="154" t="s">
        <v>201</v>
      </c>
      <c r="AV13" s="346" t="s">
        <v>67</v>
      </c>
      <c r="AW13" s="510" t="s">
        <v>196</v>
      </c>
      <c r="AX13" s="511"/>
      <c r="AY13" s="10"/>
      <c r="AZ13" s="11"/>
      <c r="BA13" s="151" t="s">
        <v>7</v>
      </c>
      <c r="BB13" s="169"/>
      <c r="BC13" s="166"/>
      <c r="BD13" s="154" t="s">
        <v>201</v>
      </c>
      <c r="BE13" s="346" t="s">
        <v>67</v>
      </c>
      <c r="BF13" s="510" t="s">
        <v>196</v>
      </c>
      <c r="BG13" s="511"/>
      <c r="BH13" s="10"/>
      <c r="BI13" s="11"/>
      <c r="BJ13" s="151" t="s">
        <v>7</v>
      </c>
      <c r="BK13" s="169"/>
      <c r="BL13" s="166"/>
      <c r="BM13" s="154" t="s">
        <v>201</v>
      </c>
      <c r="BN13" s="346" t="s">
        <v>67</v>
      </c>
      <c r="BO13" s="510" t="s">
        <v>196</v>
      </c>
      <c r="BP13" s="511"/>
      <c r="BQ13" s="10"/>
      <c r="BR13" s="11"/>
      <c r="BS13" s="151" t="s">
        <v>7</v>
      </c>
      <c r="BT13" s="169"/>
      <c r="BU13" s="166"/>
      <c r="BV13" s="154" t="s">
        <v>201</v>
      </c>
      <c r="BW13" s="346" t="s">
        <v>67</v>
      </c>
      <c r="BX13" s="510" t="s">
        <v>196</v>
      </c>
      <c r="BY13" s="511"/>
      <c r="BZ13" s="10"/>
      <c r="CA13" s="11"/>
      <c r="CB13" s="151" t="s">
        <v>7</v>
      </c>
      <c r="CC13" s="169"/>
      <c r="CD13" s="166"/>
      <c r="CE13" s="154" t="s">
        <v>201</v>
      </c>
      <c r="CF13" s="346" t="s">
        <v>67</v>
      </c>
      <c r="CG13" s="510" t="s">
        <v>196</v>
      </c>
      <c r="CH13" s="511"/>
      <c r="CI13" s="10"/>
      <c r="CJ13" s="11"/>
      <c r="CK13" s="151" t="s">
        <v>7</v>
      </c>
      <c r="CL13" s="169"/>
      <c r="CM13" s="166"/>
      <c r="CN13" s="154" t="s">
        <v>201</v>
      </c>
      <c r="CO13" s="346" t="s">
        <v>67</v>
      </c>
      <c r="CP13" s="510" t="s">
        <v>196</v>
      </c>
      <c r="CQ13" s="511"/>
      <c r="CR13" s="10"/>
      <c r="CS13" s="11"/>
      <c r="CT13" s="151" t="s">
        <v>7</v>
      </c>
      <c r="CU13" s="169"/>
      <c r="CV13" s="166"/>
      <c r="CW13" s="154" t="s">
        <v>201</v>
      </c>
      <c r="CX13" s="346" t="s">
        <v>67</v>
      </c>
      <c r="CY13" s="510" t="s">
        <v>196</v>
      </c>
      <c r="CZ13" s="511"/>
      <c r="DA13" s="10"/>
      <c r="DB13" s="11"/>
      <c r="DC13" s="151" t="s">
        <v>7</v>
      </c>
      <c r="DD13" s="169"/>
      <c r="DE13" s="166"/>
      <c r="DF13" s="154" t="s">
        <v>201</v>
      </c>
      <c r="DG13" s="346" t="s">
        <v>67</v>
      </c>
      <c r="DH13" s="510" t="s">
        <v>230</v>
      </c>
      <c r="DI13" s="511"/>
      <c r="DJ13" s="10"/>
      <c r="DK13" s="11"/>
      <c r="DL13" s="151" t="s">
        <v>7</v>
      </c>
      <c r="DM13" s="152"/>
    </row>
    <row r="14" spans="1:117" ht="13.5" thickBot="1">
      <c r="A14" s="167"/>
      <c r="B14" s="15" t="s">
        <v>8</v>
      </c>
      <c r="C14" s="16" t="s">
        <v>8</v>
      </c>
      <c r="D14" s="17" t="s">
        <v>9</v>
      </c>
      <c r="E14" s="17" t="s">
        <v>10</v>
      </c>
      <c r="F14" s="158" t="s">
        <v>201</v>
      </c>
      <c r="G14" s="432" t="s">
        <v>67</v>
      </c>
      <c r="H14" s="18" t="s">
        <v>112</v>
      </c>
      <c r="I14" s="170" t="s">
        <v>10</v>
      </c>
      <c r="J14" s="167"/>
      <c r="K14" s="15" t="s">
        <v>8</v>
      </c>
      <c r="L14" s="16" t="s">
        <v>8</v>
      </c>
      <c r="M14" s="17" t="s">
        <v>9</v>
      </c>
      <c r="N14" s="17" t="s">
        <v>10</v>
      </c>
      <c r="O14" s="158" t="s">
        <v>201</v>
      </c>
      <c r="P14" s="432" t="s">
        <v>67</v>
      </c>
      <c r="Q14" s="18" t="s">
        <v>112</v>
      </c>
      <c r="R14" s="170" t="s">
        <v>10</v>
      </c>
      <c r="S14" s="167"/>
      <c r="T14" s="15" t="s">
        <v>8</v>
      </c>
      <c r="U14" s="16" t="s">
        <v>8</v>
      </c>
      <c r="V14" s="17" t="s">
        <v>9</v>
      </c>
      <c r="W14" s="17" t="s">
        <v>10</v>
      </c>
      <c r="X14" s="158" t="s">
        <v>201</v>
      </c>
      <c r="Y14" s="432" t="s">
        <v>67</v>
      </c>
      <c r="Z14" s="433" t="s">
        <v>228</v>
      </c>
      <c r="AA14" s="170" t="s">
        <v>10</v>
      </c>
      <c r="AB14" s="167"/>
      <c r="AC14" s="15" t="s">
        <v>8</v>
      </c>
      <c r="AD14" s="16" t="s">
        <v>8</v>
      </c>
      <c r="AE14" s="17" t="s">
        <v>9</v>
      </c>
      <c r="AF14" s="17" t="s">
        <v>10</v>
      </c>
      <c r="AG14" s="158" t="s">
        <v>201</v>
      </c>
      <c r="AH14" s="432" t="s">
        <v>67</v>
      </c>
      <c r="AI14" s="433" t="s">
        <v>247</v>
      </c>
      <c r="AJ14" s="170" t="s">
        <v>10</v>
      </c>
      <c r="AK14" s="167"/>
      <c r="AL14" s="15" t="s">
        <v>8</v>
      </c>
      <c r="AM14" s="16" t="s">
        <v>8</v>
      </c>
      <c r="AN14" s="17" t="s">
        <v>9</v>
      </c>
      <c r="AO14" s="17" t="s">
        <v>10</v>
      </c>
      <c r="AP14" s="158" t="s">
        <v>201</v>
      </c>
      <c r="AQ14" s="432" t="s">
        <v>67</v>
      </c>
      <c r="AR14" s="433" t="s">
        <v>247</v>
      </c>
      <c r="AS14" s="170" t="s">
        <v>10</v>
      </c>
      <c r="AT14" s="167"/>
      <c r="AU14" s="15" t="s">
        <v>8</v>
      </c>
      <c r="AV14" s="16" t="s">
        <v>8</v>
      </c>
      <c r="AW14" s="17" t="s">
        <v>9</v>
      </c>
      <c r="AX14" s="17" t="s">
        <v>10</v>
      </c>
      <c r="AY14" s="158" t="s">
        <v>201</v>
      </c>
      <c r="AZ14" s="432" t="s">
        <v>67</v>
      </c>
      <c r="BA14" s="433" t="s">
        <v>228</v>
      </c>
      <c r="BB14" s="170" t="s">
        <v>10</v>
      </c>
      <c r="BC14" s="167"/>
      <c r="BD14" s="15" t="s">
        <v>8</v>
      </c>
      <c r="BE14" s="16" t="s">
        <v>8</v>
      </c>
      <c r="BF14" s="17" t="s">
        <v>9</v>
      </c>
      <c r="BG14" s="17" t="s">
        <v>10</v>
      </c>
      <c r="BH14" s="158" t="s">
        <v>201</v>
      </c>
      <c r="BI14" s="432" t="s">
        <v>67</v>
      </c>
      <c r="BJ14" s="433" t="s">
        <v>247</v>
      </c>
      <c r="BK14" s="170" t="s">
        <v>10</v>
      </c>
      <c r="BL14" s="167"/>
      <c r="BM14" s="15" t="s">
        <v>8</v>
      </c>
      <c r="BN14" s="16" t="s">
        <v>8</v>
      </c>
      <c r="BO14" s="17" t="s">
        <v>9</v>
      </c>
      <c r="BP14" s="17" t="s">
        <v>10</v>
      </c>
      <c r="BQ14" s="158" t="s">
        <v>201</v>
      </c>
      <c r="BR14" s="432" t="s">
        <v>67</v>
      </c>
      <c r="BS14" s="433" t="s">
        <v>247</v>
      </c>
      <c r="BT14" s="170" t="s">
        <v>10</v>
      </c>
      <c r="BU14" s="167"/>
      <c r="BV14" s="15" t="s">
        <v>8</v>
      </c>
      <c r="BW14" s="16" t="s">
        <v>8</v>
      </c>
      <c r="BX14" s="17" t="s">
        <v>9</v>
      </c>
      <c r="BY14" s="17" t="s">
        <v>10</v>
      </c>
      <c r="BZ14" s="433" t="s">
        <v>201</v>
      </c>
      <c r="CA14" s="432" t="s">
        <v>67</v>
      </c>
      <c r="CB14" s="433" t="s">
        <v>247</v>
      </c>
      <c r="CC14" s="170" t="s">
        <v>10</v>
      </c>
      <c r="CD14" s="167"/>
      <c r="CE14" s="15" t="s">
        <v>8</v>
      </c>
      <c r="CF14" s="16" t="s">
        <v>8</v>
      </c>
      <c r="CG14" s="17" t="s">
        <v>9</v>
      </c>
      <c r="CH14" s="17" t="s">
        <v>10</v>
      </c>
      <c r="CI14" s="158" t="s">
        <v>201</v>
      </c>
      <c r="CJ14" s="432" t="s">
        <v>67</v>
      </c>
      <c r="CK14" s="433" t="s">
        <v>247</v>
      </c>
      <c r="CL14" s="170" t="s">
        <v>10</v>
      </c>
      <c r="CM14" s="167"/>
      <c r="CN14" s="15" t="s">
        <v>8</v>
      </c>
      <c r="CO14" s="16" t="s">
        <v>8</v>
      </c>
      <c r="CP14" s="17" t="s">
        <v>9</v>
      </c>
      <c r="CQ14" s="17" t="s">
        <v>10</v>
      </c>
      <c r="CR14" s="158" t="s">
        <v>201</v>
      </c>
      <c r="CS14" s="432" t="s">
        <v>67</v>
      </c>
      <c r="CT14" s="433" t="s">
        <v>247</v>
      </c>
      <c r="CU14" s="170" t="s">
        <v>10</v>
      </c>
      <c r="CV14" s="167"/>
      <c r="CW14" s="15" t="s">
        <v>8</v>
      </c>
      <c r="CX14" s="16" t="s">
        <v>8</v>
      </c>
      <c r="CY14" s="17" t="s">
        <v>9</v>
      </c>
      <c r="CZ14" s="17" t="s">
        <v>10</v>
      </c>
      <c r="DA14" s="158" t="s">
        <v>201</v>
      </c>
      <c r="DB14" s="432" t="s">
        <v>67</v>
      </c>
      <c r="DC14" s="433" t="s">
        <v>247</v>
      </c>
      <c r="DD14" s="170" t="s">
        <v>10</v>
      </c>
      <c r="DE14" s="167"/>
      <c r="DF14" s="15" t="s">
        <v>8</v>
      </c>
      <c r="DG14" s="16" t="s">
        <v>8</v>
      </c>
      <c r="DH14" s="17" t="s">
        <v>9</v>
      </c>
      <c r="DI14" s="17" t="s">
        <v>10</v>
      </c>
      <c r="DJ14" s="158" t="s">
        <v>201</v>
      </c>
      <c r="DK14" s="432" t="s">
        <v>67</v>
      </c>
      <c r="DL14" s="433" t="s">
        <v>247</v>
      </c>
      <c r="DM14" s="18" t="s">
        <v>10</v>
      </c>
    </row>
    <row r="15" spans="1:117" ht="12.75">
      <c r="A15" s="20" t="s">
        <v>11</v>
      </c>
      <c r="B15" s="20">
        <f>SUM('Statistique 02-03'!E4)</f>
        <v>42046</v>
      </c>
      <c r="C15" s="21">
        <v>37802</v>
      </c>
      <c r="D15" s="22">
        <f>C15-B15</f>
        <v>-4244</v>
      </c>
      <c r="E15" s="23">
        <f aca="true" t="shared" si="0" ref="E15:E21">D15/C15</f>
        <v>-0.11226919210623776</v>
      </c>
      <c r="F15" s="156">
        <f aca="true" t="shared" si="1" ref="F15:G20">SUM(B15)</f>
        <v>42046</v>
      </c>
      <c r="G15" s="25">
        <f t="shared" si="1"/>
        <v>37802</v>
      </c>
      <c r="H15" s="26">
        <f>G15-F15</f>
        <v>-4244</v>
      </c>
      <c r="I15" s="148">
        <f aca="true" t="shared" si="2" ref="I15:I21">H15/G15</f>
        <v>-0.11226919210623776</v>
      </c>
      <c r="J15" s="20" t="s">
        <v>11</v>
      </c>
      <c r="K15" s="20">
        <f>SUM('Statistique 02-03'!F4)</f>
        <v>31497</v>
      </c>
      <c r="L15" s="21">
        <v>29888</v>
      </c>
      <c r="M15" s="22">
        <f>L15-K15</f>
        <v>-1609</v>
      </c>
      <c r="N15" s="23">
        <f aca="true" t="shared" si="3" ref="N15:N21">M15/L15</f>
        <v>-0.0538343147751606</v>
      </c>
      <c r="O15" s="155">
        <f aca="true" t="shared" si="4" ref="O15:P20">SUM(F15+K15)</f>
        <v>73543</v>
      </c>
      <c r="P15" s="25">
        <f t="shared" si="4"/>
        <v>67690</v>
      </c>
      <c r="Q15" s="26">
        <f>P15-O15</f>
        <v>-5853</v>
      </c>
      <c r="R15" s="148">
        <f aca="true" t="shared" si="5" ref="R15:R21">Q15/P15</f>
        <v>-0.08646772049047127</v>
      </c>
      <c r="S15" s="20" t="s">
        <v>11</v>
      </c>
      <c r="T15" s="20">
        <f>SUM('Statistique 02-03'!G4)</f>
        <v>30872</v>
      </c>
      <c r="U15" s="21">
        <v>30312</v>
      </c>
      <c r="V15" s="22">
        <f>U15-T15</f>
        <v>-560</v>
      </c>
      <c r="W15" s="23">
        <f aca="true" t="shared" si="6" ref="W15:W21">V15/U15</f>
        <v>-0.018474531538664556</v>
      </c>
      <c r="X15" s="156">
        <f aca="true" t="shared" si="7" ref="X15:Y20">SUM(O15+T15)</f>
        <v>104415</v>
      </c>
      <c r="Y15" s="25">
        <f t="shared" si="7"/>
        <v>98002</v>
      </c>
      <c r="Z15" s="26">
        <f>Y15-X15</f>
        <v>-6413</v>
      </c>
      <c r="AA15" s="148">
        <f aca="true" t="shared" si="8" ref="AA15:AA21">Z15/Y15</f>
        <v>-0.06543744005224383</v>
      </c>
      <c r="AB15" s="20" t="s">
        <v>11</v>
      </c>
      <c r="AC15" s="20">
        <f>SUM('Statistique 02-03'!H4)</f>
        <v>23488</v>
      </c>
      <c r="AD15" s="21">
        <v>30960</v>
      </c>
      <c r="AE15" s="22">
        <f>AD15-AC15</f>
        <v>7472</v>
      </c>
      <c r="AF15" s="23">
        <f aca="true" t="shared" si="9" ref="AF15:AF21">AE15/AD15</f>
        <v>0.241343669250646</v>
      </c>
      <c r="AG15" s="156">
        <f aca="true" t="shared" si="10" ref="AG15:AH20">SUM(X15+AC15)</f>
        <v>127903</v>
      </c>
      <c r="AH15" s="25">
        <f t="shared" si="10"/>
        <v>128962</v>
      </c>
      <c r="AI15" s="26">
        <f>AH15-AG15</f>
        <v>1059</v>
      </c>
      <c r="AJ15" s="148">
        <f aca="true" t="shared" si="11" ref="AJ15:AJ21">AI15/AH15</f>
        <v>0.008211721282238179</v>
      </c>
      <c r="AK15" s="20" t="s">
        <v>11</v>
      </c>
      <c r="AL15" s="20">
        <f>SUM('Statistique 02-03'!I4)</f>
        <v>27389</v>
      </c>
      <c r="AM15" s="21">
        <v>32858</v>
      </c>
      <c r="AN15" s="22">
        <f>AM15-AL15</f>
        <v>5469</v>
      </c>
      <c r="AO15" s="23">
        <f aca="true" t="shared" si="12" ref="AO15:AO21">AN15/AM15</f>
        <v>0.16644348408302392</v>
      </c>
      <c r="AP15" s="155">
        <f aca="true" t="shared" si="13" ref="AP15:AQ20">SUM(AG15+AL15)</f>
        <v>155292</v>
      </c>
      <c r="AQ15" s="25">
        <f t="shared" si="13"/>
        <v>161820</v>
      </c>
      <c r="AR15" s="26">
        <f>AQ15-AP15</f>
        <v>6528</v>
      </c>
      <c r="AS15" s="148">
        <f aca="true" t="shared" si="14" ref="AS15:AS21">AR15/AQ15</f>
        <v>0.040341119762699294</v>
      </c>
      <c r="AT15" s="20" t="s">
        <v>11</v>
      </c>
      <c r="AU15" s="20">
        <f>SUM('Statistique 02-03'!J4)</f>
        <v>29818</v>
      </c>
      <c r="AV15" s="21">
        <v>24636</v>
      </c>
      <c r="AW15" s="22">
        <f>AV15-AU15</f>
        <v>-5182</v>
      </c>
      <c r="AX15" s="23">
        <f aca="true" t="shared" si="15" ref="AX15:AX21">AW15/AV15</f>
        <v>-0.21034258808248094</v>
      </c>
      <c r="AY15" s="156">
        <f aca="true" t="shared" si="16" ref="AY15:AZ20">SUM(AP15+AU15)</f>
        <v>185110</v>
      </c>
      <c r="AZ15" s="25">
        <f t="shared" si="16"/>
        <v>186456</v>
      </c>
      <c r="BA15" s="26">
        <f>AZ15-AY15</f>
        <v>1346</v>
      </c>
      <c r="BB15" s="148">
        <f aca="true" t="shared" si="17" ref="BB15:BB21">BA15/AZ15</f>
        <v>0.007218861286308834</v>
      </c>
      <c r="BC15" s="20" t="s">
        <v>11</v>
      </c>
      <c r="BD15" s="20">
        <f>SUM('Statistique 02-03'!K4)</f>
        <v>32219</v>
      </c>
      <c r="BE15" s="21">
        <v>33292</v>
      </c>
      <c r="BF15" s="22">
        <f>BE15-BD15</f>
        <v>1073</v>
      </c>
      <c r="BG15" s="23">
        <f aca="true" t="shared" si="18" ref="BG15:BG21">BF15/BE15</f>
        <v>0.032229965156794424</v>
      </c>
      <c r="BH15" s="156">
        <f aca="true" t="shared" si="19" ref="BH15:BI20">SUM(AY15+BD15)</f>
        <v>217329</v>
      </c>
      <c r="BI15" s="25">
        <f t="shared" si="19"/>
        <v>219748</v>
      </c>
      <c r="BJ15" s="26">
        <f>BI15-BH15</f>
        <v>2419</v>
      </c>
      <c r="BK15" s="148">
        <f aca="true" t="shared" si="20" ref="BK15:BK21">BJ15/BI15</f>
        <v>0.011008063782150463</v>
      </c>
      <c r="BL15" s="20" t="s">
        <v>11</v>
      </c>
      <c r="BM15" s="20">
        <f>SUM('Statistique 02-03'!L4)</f>
        <v>33537</v>
      </c>
      <c r="BN15" s="21">
        <v>33462</v>
      </c>
      <c r="BO15" s="22">
        <f>BN15-BM15</f>
        <v>-75</v>
      </c>
      <c r="BP15" s="23">
        <f aca="true" t="shared" si="21" ref="BP15:BP21">BO15/BN15</f>
        <v>-0.002241348395194549</v>
      </c>
      <c r="BQ15" s="156">
        <f aca="true" t="shared" si="22" ref="BQ15:BR20">SUM(BH15+BM15)</f>
        <v>250866</v>
      </c>
      <c r="BR15" s="25">
        <f t="shared" si="22"/>
        <v>253210</v>
      </c>
      <c r="BS15" s="26">
        <f>BR15-BQ15</f>
        <v>2344</v>
      </c>
      <c r="BT15" s="148">
        <f aca="true" t="shared" si="23" ref="BT15:BT21">BS15/BR15</f>
        <v>0.009257138343667311</v>
      </c>
      <c r="BU15" s="20" t="s">
        <v>11</v>
      </c>
      <c r="BV15" s="20">
        <f>SUM('Statistique 02-03'!M4)</f>
        <v>32496</v>
      </c>
      <c r="BW15" s="21">
        <v>34492</v>
      </c>
      <c r="BX15" s="22">
        <f>BW15-BV15</f>
        <v>1996</v>
      </c>
      <c r="BY15" s="23">
        <f aca="true" t="shared" si="24" ref="BY15:BY21">BX15/BW15</f>
        <v>0.057868491244346516</v>
      </c>
      <c r="BZ15" s="156">
        <f aca="true" t="shared" si="25" ref="BZ15:CA20">SUM(BQ15+BV15)</f>
        <v>283362</v>
      </c>
      <c r="CA15" s="25">
        <f t="shared" si="25"/>
        <v>287702</v>
      </c>
      <c r="CB15" s="26">
        <f>CA15-BZ15</f>
        <v>4340</v>
      </c>
      <c r="CC15" s="148">
        <f aca="true" t="shared" si="26" ref="CC15:CC21">CB15/CA15</f>
        <v>0.015085053284301117</v>
      </c>
      <c r="CD15" s="20" t="s">
        <v>11</v>
      </c>
      <c r="CE15" s="20">
        <f>SUM('Statistique 02-03'!N4)</f>
        <v>28699</v>
      </c>
      <c r="CF15" s="21">
        <v>31208</v>
      </c>
      <c r="CG15" s="22">
        <f>CF15-CE15</f>
        <v>2509</v>
      </c>
      <c r="CH15" s="23">
        <f aca="true" t="shared" si="27" ref="CH15:CH21">CG15/CF15</f>
        <v>0.08039605229428352</v>
      </c>
      <c r="CI15" s="156">
        <f aca="true" t="shared" si="28" ref="CI15:CJ20">SUM(BZ15+CE15)</f>
        <v>312061</v>
      </c>
      <c r="CJ15" s="25">
        <f t="shared" si="28"/>
        <v>318910</v>
      </c>
      <c r="CK15" s="26">
        <f>CJ15-CI15</f>
        <v>6849</v>
      </c>
      <c r="CL15" s="148">
        <f aca="true" t="shared" si="29" ref="CL15:CL21">CK15/CJ15</f>
        <v>0.02147627857389232</v>
      </c>
      <c r="CM15" s="20" t="s">
        <v>11</v>
      </c>
      <c r="CN15" s="20">
        <f>SUM('Statistique 02-03'!O4)</f>
        <v>33458</v>
      </c>
      <c r="CO15" s="21">
        <v>35294</v>
      </c>
      <c r="CP15" s="22">
        <f>CO15-CN15</f>
        <v>1836</v>
      </c>
      <c r="CQ15" s="23">
        <f aca="true" t="shared" si="30" ref="CQ15:CQ21">CP15/CO15</f>
        <v>0.052020173400578004</v>
      </c>
      <c r="CR15" s="156">
        <f aca="true" t="shared" si="31" ref="CR15:CS20">SUM(CI15+CN15)</f>
        <v>345519</v>
      </c>
      <c r="CS15" s="25">
        <f t="shared" si="31"/>
        <v>354204</v>
      </c>
      <c r="CT15" s="26">
        <f>CS15-CR15</f>
        <v>8685</v>
      </c>
      <c r="CU15" s="148">
        <f aca="true" t="shared" si="32" ref="CU15:CU21">CT15/CS15</f>
        <v>0.024519768269133043</v>
      </c>
      <c r="CV15" s="20" t="s">
        <v>11</v>
      </c>
      <c r="CW15" s="20">
        <f>SUM('Statistique 02-03'!P4)</f>
        <v>29428</v>
      </c>
      <c r="CX15" s="21">
        <v>33118</v>
      </c>
      <c r="CY15" s="22">
        <f>CX15-CW15</f>
        <v>3690</v>
      </c>
      <c r="CZ15" s="23">
        <f aca="true" t="shared" si="33" ref="CZ15:CZ21">CY15/CX15</f>
        <v>0.11141977172534573</v>
      </c>
      <c r="DA15" s="156">
        <f aca="true" t="shared" si="34" ref="DA15:DB20">SUM(CR15+CW15)</f>
        <v>374947</v>
      </c>
      <c r="DB15" s="25">
        <f t="shared" si="34"/>
        <v>387322</v>
      </c>
      <c r="DC15" s="26">
        <f>DB15-DA15</f>
        <v>12375</v>
      </c>
      <c r="DD15" s="148">
        <f aca="true" t="shared" si="35" ref="DD15:DD21">DC15/DB15</f>
        <v>0.03195016033171366</v>
      </c>
      <c r="DE15" s="20" t="s">
        <v>11</v>
      </c>
      <c r="DF15" s="20"/>
      <c r="DG15" s="21">
        <v>27280</v>
      </c>
      <c r="DH15" s="22">
        <f>DG15-DF15</f>
        <v>27280</v>
      </c>
      <c r="DI15" s="23">
        <f aca="true" t="shared" si="36" ref="DI15:DI21">DH15/DG15</f>
        <v>1</v>
      </c>
      <c r="DJ15" s="156">
        <f aca="true" t="shared" si="37" ref="DJ15:DK20">SUM(DA15+DF15)</f>
        <v>374947</v>
      </c>
      <c r="DK15" s="25">
        <f t="shared" si="37"/>
        <v>414602</v>
      </c>
      <c r="DL15" s="26">
        <f>DK15-DJ15</f>
        <v>39655</v>
      </c>
      <c r="DM15" s="148">
        <f aca="true" t="shared" si="38" ref="DM15:DM21">DL15/DK15</f>
        <v>0.09564594478560161</v>
      </c>
    </row>
    <row r="16" spans="1:117" ht="12.75">
      <c r="A16" s="31" t="s">
        <v>12</v>
      </c>
      <c r="B16" s="31">
        <f>SUM('Statistique 02-03'!E6)</f>
        <v>215</v>
      </c>
      <c r="C16" s="21">
        <v>19</v>
      </c>
      <c r="D16" s="22">
        <f aca="true" t="shared" si="39" ref="D16:D21">C16-B16</f>
        <v>-196</v>
      </c>
      <c r="E16" s="32"/>
      <c r="F16" s="155">
        <f t="shared" si="1"/>
        <v>215</v>
      </c>
      <c r="G16" s="25">
        <f t="shared" si="1"/>
        <v>19</v>
      </c>
      <c r="H16" s="34">
        <f aca="true" t="shared" si="40" ref="H16:H21">G16-F16</f>
        <v>-196</v>
      </c>
      <c r="I16" s="149"/>
      <c r="J16" s="31" t="s">
        <v>12</v>
      </c>
      <c r="K16" s="31">
        <f>SUM('Statistique 02-03'!F6)</f>
        <v>129</v>
      </c>
      <c r="L16" s="21">
        <v>0</v>
      </c>
      <c r="M16" s="22">
        <f aca="true" t="shared" si="41" ref="M16:M21">L16-K16</f>
        <v>-129</v>
      </c>
      <c r="N16" s="23"/>
      <c r="O16" s="157">
        <f t="shared" si="4"/>
        <v>344</v>
      </c>
      <c r="P16" s="25">
        <f t="shared" si="4"/>
        <v>19</v>
      </c>
      <c r="Q16" s="34">
        <f aca="true" t="shared" si="42" ref="Q16:Q21">P16-O16</f>
        <v>-325</v>
      </c>
      <c r="R16" s="149"/>
      <c r="S16" s="31" t="s">
        <v>12</v>
      </c>
      <c r="T16" s="31">
        <f>SUM('Statistique 02-03'!G6)</f>
        <v>255</v>
      </c>
      <c r="U16" s="21">
        <v>51</v>
      </c>
      <c r="V16" s="22">
        <f aca="true" t="shared" si="43" ref="V16:V21">U16-T16</f>
        <v>-204</v>
      </c>
      <c r="W16" s="32">
        <f t="shared" si="6"/>
        <v>-4</v>
      </c>
      <c r="X16" s="157">
        <f t="shared" si="7"/>
        <v>599</v>
      </c>
      <c r="Y16" s="25">
        <f t="shared" si="7"/>
        <v>70</v>
      </c>
      <c r="Z16" s="34">
        <f aca="true" t="shared" si="44" ref="Z16:Z21">Y16-X16</f>
        <v>-529</v>
      </c>
      <c r="AA16" s="149">
        <f t="shared" si="8"/>
        <v>-7.557142857142857</v>
      </c>
      <c r="AB16" s="31" t="s">
        <v>12</v>
      </c>
      <c r="AC16" s="31">
        <f>SUM('Statistique 02-03'!H6)</f>
        <v>262</v>
      </c>
      <c r="AD16" s="21">
        <v>33</v>
      </c>
      <c r="AE16" s="22">
        <f aca="true" t="shared" si="45" ref="AE16:AE21">AD16-AC16</f>
        <v>-229</v>
      </c>
      <c r="AF16" s="32">
        <f t="shared" si="9"/>
        <v>-6.9393939393939394</v>
      </c>
      <c r="AG16" s="157">
        <f t="shared" si="10"/>
        <v>861</v>
      </c>
      <c r="AH16" s="25">
        <f t="shared" si="10"/>
        <v>103</v>
      </c>
      <c r="AI16" s="34">
        <f aca="true" t="shared" si="46" ref="AI16:AI21">AH16-AG16</f>
        <v>-758</v>
      </c>
      <c r="AJ16" s="149">
        <f t="shared" si="11"/>
        <v>-7.359223300970874</v>
      </c>
      <c r="AK16" s="31" t="s">
        <v>12</v>
      </c>
      <c r="AL16" s="31">
        <f>SUM('Statistique 02-03'!I6)</f>
        <v>187</v>
      </c>
      <c r="AM16" s="21">
        <v>2</v>
      </c>
      <c r="AN16" s="22">
        <f aca="true" t="shared" si="47" ref="AN16:AN21">AM16-AL16</f>
        <v>-185</v>
      </c>
      <c r="AO16" s="32">
        <f t="shared" si="12"/>
        <v>-92.5</v>
      </c>
      <c r="AP16" s="157">
        <f t="shared" si="13"/>
        <v>1048</v>
      </c>
      <c r="AQ16" s="25">
        <f t="shared" si="13"/>
        <v>105</v>
      </c>
      <c r="AR16" s="34">
        <f aca="true" t="shared" si="48" ref="AR16:AR21">AQ16-AP16</f>
        <v>-943</v>
      </c>
      <c r="AS16" s="149">
        <f t="shared" si="14"/>
        <v>-8.980952380952381</v>
      </c>
      <c r="AT16" s="31" t="s">
        <v>12</v>
      </c>
      <c r="AU16" s="31">
        <f>SUM('Statistique 02-03'!J6)</f>
        <v>189</v>
      </c>
      <c r="AV16" s="21">
        <v>80</v>
      </c>
      <c r="AW16" s="22">
        <f aca="true" t="shared" si="49" ref="AW16:AW21">AV16-AU16</f>
        <v>-109</v>
      </c>
      <c r="AX16" s="32">
        <f t="shared" si="15"/>
        <v>-1.3625</v>
      </c>
      <c r="AY16" s="157">
        <f t="shared" si="16"/>
        <v>1237</v>
      </c>
      <c r="AZ16" s="25">
        <f t="shared" si="16"/>
        <v>185</v>
      </c>
      <c r="BA16" s="34">
        <f aca="true" t="shared" si="50" ref="BA16:BA21">AZ16-AY16</f>
        <v>-1052</v>
      </c>
      <c r="BB16" s="149">
        <f t="shared" si="17"/>
        <v>-5.686486486486486</v>
      </c>
      <c r="BC16" s="31" t="s">
        <v>12</v>
      </c>
      <c r="BD16" s="31">
        <f>SUM('Statistique 02-03'!K6)</f>
        <v>145</v>
      </c>
      <c r="BE16" s="21">
        <v>64</v>
      </c>
      <c r="BF16" s="22">
        <f aca="true" t="shared" si="51" ref="BF16:BF21">BE16-BD16</f>
        <v>-81</v>
      </c>
      <c r="BG16" s="32">
        <f t="shared" si="18"/>
        <v>-1.265625</v>
      </c>
      <c r="BH16" s="157">
        <f t="shared" si="19"/>
        <v>1382</v>
      </c>
      <c r="BI16" s="25">
        <f t="shared" si="19"/>
        <v>249</v>
      </c>
      <c r="BJ16" s="34">
        <f aca="true" t="shared" si="52" ref="BJ16:BJ21">BI16-BH16</f>
        <v>-1133</v>
      </c>
      <c r="BK16" s="149">
        <f t="shared" si="20"/>
        <v>-4.550200803212851</v>
      </c>
      <c r="BL16" s="31" t="s">
        <v>12</v>
      </c>
      <c r="BM16" s="31">
        <f>SUM('Statistique 02-03'!L6)</f>
        <v>172</v>
      </c>
      <c r="BN16" s="21">
        <v>29</v>
      </c>
      <c r="BO16" s="22">
        <f aca="true" t="shared" si="53" ref="BO16:BO21">BN16-BM16</f>
        <v>-143</v>
      </c>
      <c r="BP16" s="32">
        <f t="shared" si="21"/>
        <v>-4.931034482758621</v>
      </c>
      <c r="BQ16" s="157">
        <f t="shared" si="22"/>
        <v>1554</v>
      </c>
      <c r="BR16" s="25">
        <f t="shared" si="22"/>
        <v>278</v>
      </c>
      <c r="BS16" s="34">
        <f aca="true" t="shared" si="54" ref="BS16:BS21">BR16-BQ16</f>
        <v>-1276</v>
      </c>
      <c r="BT16" s="149">
        <f t="shared" si="23"/>
        <v>-4.589928057553957</v>
      </c>
      <c r="BU16" s="31" t="s">
        <v>12</v>
      </c>
      <c r="BV16" s="31">
        <f>SUM('Statistique 02-03'!M6)</f>
        <v>179</v>
      </c>
      <c r="BW16" s="21">
        <v>19</v>
      </c>
      <c r="BX16" s="22">
        <f aca="true" t="shared" si="55" ref="BX16:BX21">BW16-BV16</f>
        <v>-160</v>
      </c>
      <c r="BY16" s="32">
        <f t="shared" si="24"/>
        <v>-8.421052631578947</v>
      </c>
      <c r="BZ16" s="157">
        <f t="shared" si="25"/>
        <v>1733</v>
      </c>
      <c r="CA16" s="25">
        <f t="shared" si="25"/>
        <v>297</v>
      </c>
      <c r="CB16" s="34">
        <f aca="true" t="shared" si="56" ref="CB16:CB21">CA16-BZ16</f>
        <v>-1436</v>
      </c>
      <c r="CC16" s="149">
        <f t="shared" si="26"/>
        <v>-4.835016835016835</v>
      </c>
      <c r="CD16" s="31" t="s">
        <v>12</v>
      </c>
      <c r="CE16" s="31">
        <f>SUM('Statistique 02-03'!N6)</f>
        <v>153</v>
      </c>
      <c r="CF16" s="21">
        <v>22</v>
      </c>
      <c r="CG16" s="22">
        <f aca="true" t="shared" si="57" ref="CG16:CG21">CF16-CE16</f>
        <v>-131</v>
      </c>
      <c r="CH16" s="32">
        <f t="shared" si="27"/>
        <v>-5.954545454545454</v>
      </c>
      <c r="CI16" s="157">
        <f t="shared" si="28"/>
        <v>1886</v>
      </c>
      <c r="CJ16" s="25">
        <f t="shared" si="28"/>
        <v>319</v>
      </c>
      <c r="CK16" s="34">
        <f aca="true" t="shared" si="58" ref="CK16:CK21">CJ16-CI16</f>
        <v>-1567</v>
      </c>
      <c r="CL16" s="149">
        <f t="shared" si="29"/>
        <v>-4.912225705329154</v>
      </c>
      <c r="CM16" s="31" t="s">
        <v>12</v>
      </c>
      <c r="CN16" s="31">
        <f>SUM('Statistique 02-03'!O6)</f>
        <v>186</v>
      </c>
      <c r="CO16" s="21">
        <v>304</v>
      </c>
      <c r="CP16" s="22">
        <f aca="true" t="shared" si="59" ref="CP16:CP21">CO16-CN16</f>
        <v>118</v>
      </c>
      <c r="CQ16" s="32">
        <f t="shared" si="30"/>
        <v>0.3881578947368421</v>
      </c>
      <c r="CR16" s="157">
        <f t="shared" si="31"/>
        <v>2072</v>
      </c>
      <c r="CS16" s="25">
        <f t="shared" si="31"/>
        <v>623</v>
      </c>
      <c r="CT16" s="34">
        <f aca="true" t="shared" si="60" ref="CT16:CT21">CS16-CR16</f>
        <v>-1449</v>
      </c>
      <c r="CU16" s="149">
        <f t="shared" si="32"/>
        <v>-2.3258426966292136</v>
      </c>
      <c r="CV16" s="31" t="s">
        <v>12</v>
      </c>
      <c r="CW16" s="31">
        <f>SUM('Statistique 02-03'!P6)</f>
        <v>114</v>
      </c>
      <c r="CX16" s="21">
        <v>251</v>
      </c>
      <c r="CY16" s="22">
        <f aca="true" t="shared" si="61" ref="CY16:CY21">CX16-CW16</f>
        <v>137</v>
      </c>
      <c r="CZ16" s="32">
        <f t="shared" si="33"/>
        <v>0.545816733067729</v>
      </c>
      <c r="DA16" s="157">
        <f t="shared" si="34"/>
        <v>2186</v>
      </c>
      <c r="DB16" s="25">
        <f t="shared" si="34"/>
        <v>874</v>
      </c>
      <c r="DC16" s="34">
        <f aca="true" t="shared" si="62" ref="DC16:DC21">DB16-DA16</f>
        <v>-1312</v>
      </c>
      <c r="DD16" s="149">
        <f t="shared" si="35"/>
        <v>-1.5011441647597255</v>
      </c>
      <c r="DE16" s="31" t="s">
        <v>12</v>
      </c>
      <c r="DF16" s="31"/>
      <c r="DG16" s="21">
        <v>182</v>
      </c>
      <c r="DH16" s="22">
        <f aca="true" t="shared" si="63" ref="DH16:DH21">DG16-DF16</f>
        <v>182</v>
      </c>
      <c r="DI16" s="32">
        <f t="shared" si="36"/>
        <v>1</v>
      </c>
      <c r="DJ16" s="157">
        <f t="shared" si="37"/>
        <v>2186</v>
      </c>
      <c r="DK16" s="25">
        <f t="shared" si="37"/>
        <v>1056</v>
      </c>
      <c r="DL16" s="34">
        <f aca="true" t="shared" si="64" ref="DL16:DL21">DK16-DJ16</f>
        <v>-1130</v>
      </c>
      <c r="DM16" s="149">
        <f t="shared" si="38"/>
        <v>-1.0700757575757576</v>
      </c>
    </row>
    <row r="17" spans="1:117" ht="12.75">
      <c r="A17" s="31" t="s">
        <v>13</v>
      </c>
      <c r="B17" s="31">
        <f>SUM('Statistique 02-03'!E7)</f>
        <v>12938</v>
      </c>
      <c r="C17" s="21">
        <v>11000</v>
      </c>
      <c r="D17" s="22">
        <f t="shared" si="39"/>
        <v>-1938</v>
      </c>
      <c r="E17" s="23">
        <f t="shared" si="0"/>
        <v>-0.1761818181818182</v>
      </c>
      <c r="F17" s="157">
        <f t="shared" si="1"/>
        <v>12938</v>
      </c>
      <c r="G17" s="25">
        <f t="shared" si="1"/>
        <v>11000</v>
      </c>
      <c r="H17" s="34">
        <f t="shared" si="40"/>
        <v>-1938</v>
      </c>
      <c r="I17" s="149">
        <f t="shared" si="2"/>
        <v>-0.1761818181818182</v>
      </c>
      <c r="J17" s="31" t="s">
        <v>13</v>
      </c>
      <c r="K17" s="31">
        <f>SUM('Statistique 02-03'!F7)</f>
        <v>10209</v>
      </c>
      <c r="L17" s="21">
        <v>10248</v>
      </c>
      <c r="M17" s="22">
        <f t="shared" si="41"/>
        <v>39</v>
      </c>
      <c r="N17" s="23">
        <f t="shared" si="3"/>
        <v>0.0038056206088992973</v>
      </c>
      <c r="O17" s="155">
        <f t="shared" si="4"/>
        <v>23147</v>
      </c>
      <c r="P17" s="25">
        <f t="shared" si="4"/>
        <v>21248</v>
      </c>
      <c r="Q17" s="34">
        <f t="shared" si="42"/>
        <v>-1899</v>
      </c>
      <c r="R17" s="149">
        <f t="shared" si="5"/>
        <v>-0.08937311746987951</v>
      </c>
      <c r="S17" s="31" t="s">
        <v>13</v>
      </c>
      <c r="T17" s="31">
        <f>SUM('Statistique 02-03'!G7)</f>
        <v>10535</v>
      </c>
      <c r="U17" s="21">
        <v>10381</v>
      </c>
      <c r="V17" s="22">
        <f t="shared" si="43"/>
        <v>-154</v>
      </c>
      <c r="W17" s="23">
        <f t="shared" si="6"/>
        <v>-0.014834794335805798</v>
      </c>
      <c r="X17" s="157">
        <f t="shared" si="7"/>
        <v>33682</v>
      </c>
      <c r="Y17" s="25">
        <f t="shared" si="7"/>
        <v>31629</v>
      </c>
      <c r="Z17" s="34">
        <f t="shared" si="44"/>
        <v>-2053</v>
      </c>
      <c r="AA17" s="149">
        <f t="shared" si="8"/>
        <v>-0.06490878624047551</v>
      </c>
      <c r="AB17" s="31" t="s">
        <v>13</v>
      </c>
      <c r="AC17" s="31">
        <f>SUM('Statistique 02-03'!H7)</f>
        <v>9639</v>
      </c>
      <c r="AD17" s="21">
        <v>10662</v>
      </c>
      <c r="AE17" s="22">
        <f t="shared" si="45"/>
        <v>1023</v>
      </c>
      <c r="AF17" s="23">
        <f t="shared" si="9"/>
        <v>0.09594822734946538</v>
      </c>
      <c r="AG17" s="157">
        <f t="shared" si="10"/>
        <v>43321</v>
      </c>
      <c r="AH17" s="25">
        <f t="shared" si="10"/>
        <v>42291</v>
      </c>
      <c r="AI17" s="34">
        <f t="shared" si="46"/>
        <v>-1030</v>
      </c>
      <c r="AJ17" s="149">
        <f t="shared" si="11"/>
        <v>-0.024355063725142467</v>
      </c>
      <c r="AK17" s="31" t="s">
        <v>13</v>
      </c>
      <c r="AL17" s="31">
        <f>SUM('Statistique 02-03'!I7)</f>
        <v>10097</v>
      </c>
      <c r="AM17" s="21">
        <v>10381</v>
      </c>
      <c r="AN17" s="22">
        <f t="shared" si="47"/>
        <v>284</v>
      </c>
      <c r="AO17" s="23">
        <f t="shared" si="12"/>
        <v>0.02735767267122628</v>
      </c>
      <c r="AP17" s="157">
        <f t="shared" si="13"/>
        <v>53418</v>
      </c>
      <c r="AQ17" s="25">
        <f t="shared" si="13"/>
        <v>52672</v>
      </c>
      <c r="AR17" s="34">
        <f t="shared" si="48"/>
        <v>-746</v>
      </c>
      <c r="AS17" s="149">
        <f t="shared" si="14"/>
        <v>-0.014163122721749697</v>
      </c>
      <c r="AT17" s="31" t="s">
        <v>13</v>
      </c>
      <c r="AU17" s="31">
        <f>SUM('Statistique 02-03'!J7)</f>
        <v>9207</v>
      </c>
      <c r="AV17" s="21">
        <v>10107</v>
      </c>
      <c r="AW17" s="22">
        <f t="shared" si="49"/>
        <v>900</v>
      </c>
      <c r="AX17" s="23">
        <f t="shared" si="15"/>
        <v>0.08904719501335707</v>
      </c>
      <c r="AY17" s="157">
        <f t="shared" si="16"/>
        <v>62625</v>
      </c>
      <c r="AZ17" s="25">
        <f t="shared" si="16"/>
        <v>62779</v>
      </c>
      <c r="BA17" s="34">
        <f t="shared" si="50"/>
        <v>154</v>
      </c>
      <c r="BB17" s="149">
        <f t="shared" si="17"/>
        <v>0.0024530495866452156</v>
      </c>
      <c r="BC17" s="31" t="s">
        <v>13</v>
      </c>
      <c r="BD17" s="31">
        <f>SUM('Statistique 02-03'!K7)</f>
        <v>9748</v>
      </c>
      <c r="BE17" s="21">
        <v>9592</v>
      </c>
      <c r="BF17" s="22">
        <f t="shared" si="51"/>
        <v>-156</v>
      </c>
      <c r="BG17" s="23">
        <f t="shared" si="18"/>
        <v>-0.01626355296080067</v>
      </c>
      <c r="BH17" s="157">
        <f t="shared" si="19"/>
        <v>72373</v>
      </c>
      <c r="BI17" s="25">
        <f t="shared" si="19"/>
        <v>72371</v>
      </c>
      <c r="BJ17" s="34">
        <f t="shared" si="52"/>
        <v>-2</v>
      </c>
      <c r="BK17" s="149">
        <f t="shared" si="20"/>
        <v>-2.7635378811955066E-05</v>
      </c>
      <c r="BL17" s="31" t="s">
        <v>13</v>
      </c>
      <c r="BM17" s="31">
        <f>SUM('Statistique 02-03'!L7)</f>
        <v>10880</v>
      </c>
      <c r="BN17" s="21">
        <v>9868</v>
      </c>
      <c r="BO17" s="22">
        <f t="shared" si="53"/>
        <v>-1012</v>
      </c>
      <c r="BP17" s="23">
        <f t="shared" si="21"/>
        <v>-0.10255370895824889</v>
      </c>
      <c r="BQ17" s="157">
        <f t="shared" si="22"/>
        <v>83253</v>
      </c>
      <c r="BR17" s="25">
        <f t="shared" si="22"/>
        <v>82239</v>
      </c>
      <c r="BS17" s="34">
        <f t="shared" si="54"/>
        <v>-1014</v>
      </c>
      <c r="BT17" s="149">
        <f t="shared" si="23"/>
        <v>-0.01232991646299201</v>
      </c>
      <c r="BU17" s="31" t="s">
        <v>13</v>
      </c>
      <c r="BV17" s="31">
        <f>SUM('Statistique 02-03'!M7)</f>
        <v>10148</v>
      </c>
      <c r="BW17" s="21">
        <v>9836</v>
      </c>
      <c r="BX17" s="22">
        <f t="shared" si="55"/>
        <v>-312</v>
      </c>
      <c r="BY17" s="23">
        <f t="shared" si="24"/>
        <v>-0.03172021146807645</v>
      </c>
      <c r="BZ17" s="157">
        <f t="shared" si="25"/>
        <v>93401</v>
      </c>
      <c r="CA17" s="25">
        <f t="shared" si="25"/>
        <v>92075</v>
      </c>
      <c r="CB17" s="34">
        <f t="shared" si="56"/>
        <v>-1326</v>
      </c>
      <c r="CC17" s="149">
        <f t="shared" si="26"/>
        <v>-0.014401303285365192</v>
      </c>
      <c r="CD17" s="31" t="s">
        <v>13</v>
      </c>
      <c r="CE17" s="31">
        <f>SUM('Statistique 02-03'!N7)</f>
        <v>11120</v>
      </c>
      <c r="CF17" s="21">
        <v>10235</v>
      </c>
      <c r="CG17" s="22">
        <f t="shared" si="57"/>
        <v>-885</v>
      </c>
      <c r="CH17" s="23">
        <f t="shared" si="27"/>
        <v>-0.08646800195407914</v>
      </c>
      <c r="CI17" s="157">
        <f t="shared" si="28"/>
        <v>104521</v>
      </c>
      <c r="CJ17" s="25">
        <f t="shared" si="28"/>
        <v>102310</v>
      </c>
      <c r="CK17" s="34">
        <f t="shared" si="58"/>
        <v>-2211</v>
      </c>
      <c r="CL17" s="149">
        <f t="shared" si="29"/>
        <v>-0.021610790734043595</v>
      </c>
      <c r="CM17" s="31" t="s">
        <v>13</v>
      </c>
      <c r="CN17" s="31">
        <f>SUM('Statistique 02-03'!O7)</f>
        <v>10893</v>
      </c>
      <c r="CO17" s="21">
        <v>10425</v>
      </c>
      <c r="CP17" s="22">
        <f t="shared" si="59"/>
        <v>-468</v>
      </c>
      <c r="CQ17" s="23">
        <f t="shared" si="30"/>
        <v>-0.04489208633093525</v>
      </c>
      <c r="CR17" s="157">
        <f t="shared" si="31"/>
        <v>115414</v>
      </c>
      <c r="CS17" s="25">
        <f t="shared" si="31"/>
        <v>112735</v>
      </c>
      <c r="CT17" s="34">
        <f t="shared" si="60"/>
        <v>-2679</v>
      </c>
      <c r="CU17" s="149">
        <f t="shared" si="32"/>
        <v>-0.0237636936177762</v>
      </c>
      <c r="CV17" s="31" t="s">
        <v>13</v>
      </c>
      <c r="CW17" s="31">
        <f>SUM('Statistique 02-03'!P7)</f>
        <v>9240</v>
      </c>
      <c r="CX17" s="21">
        <v>10664</v>
      </c>
      <c r="CY17" s="22">
        <f t="shared" si="61"/>
        <v>1424</v>
      </c>
      <c r="CZ17" s="23">
        <f t="shared" si="33"/>
        <v>0.13353338334583645</v>
      </c>
      <c r="DA17" s="157">
        <f t="shared" si="34"/>
        <v>124654</v>
      </c>
      <c r="DB17" s="25">
        <f t="shared" si="34"/>
        <v>123399</v>
      </c>
      <c r="DC17" s="34">
        <f t="shared" si="62"/>
        <v>-1255</v>
      </c>
      <c r="DD17" s="149">
        <f t="shared" si="35"/>
        <v>-0.010170260699033217</v>
      </c>
      <c r="DE17" s="31" t="s">
        <v>13</v>
      </c>
      <c r="DF17" s="31"/>
      <c r="DG17" s="21">
        <v>7675</v>
      </c>
      <c r="DH17" s="22">
        <f t="shared" si="63"/>
        <v>7675</v>
      </c>
      <c r="DI17" s="23">
        <f t="shared" si="36"/>
        <v>1</v>
      </c>
      <c r="DJ17" s="157">
        <f t="shared" si="37"/>
        <v>124654</v>
      </c>
      <c r="DK17" s="25">
        <f t="shared" si="37"/>
        <v>131074</v>
      </c>
      <c r="DL17" s="34">
        <f t="shared" si="64"/>
        <v>6420</v>
      </c>
      <c r="DM17" s="149">
        <f t="shared" si="38"/>
        <v>0.04897996551566291</v>
      </c>
    </row>
    <row r="18" spans="1:117" ht="12.75">
      <c r="A18" s="31" t="s">
        <v>14</v>
      </c>
      <c r="B18" s="31">
        <f>SUM('Statistique 02-03'!E8+'Statistique 02-03'!E9+'Statistique 02-03'!E10+'Statistique 02-03'!E11+'Statistique 02-03'!E12+'Statistique 02-03'!E13+'Statistique 02-03'!E14)</f>
        <v>2305</v>
      </c>
      <c r="C18" s="21">
        <v>2310</v>
      </c>
      <c r="D18" s="22">
        <f t="shared" si="39"/>
        <v>5</v>
      </c>
      <c r="E18" s="23">
        <f t="shared" si="0"/>
        <v>0.0021645021645021645</v>
      </c>
      <c r="F18" s="155">
        <f t="shared" si="1"/>
        <v>2305</v>
      </c>
      <c r="G18" s="25">
        <f t="shared" si="1"/>
        <v>2310</v>
      </c>
      <c r="H18" s="34">
        <f t="shared" si="40"/>
        <v>5</v>
      </c>
      <c r="I18" s="149">
        <f t="shared" si="2"/>
        <v>0.0021645021645021645</v>
      </c>
      <c r="J18" s="31" t="s">
        <v>14</v>
      </c>
      <c r="K18" s="31">
        <f>SUM('Statistique 02-03'!F8+'Statistique 02-03'!F9+'Statistique 02-03'!F10+'Statistique 02-03'!F11+'Statistique 02-03'!F12+'Statistique 02-03'!F13+'Statistique 02-03'!F14)</f>
        <v>1542</v>
      </c>
      <c r="L18" s="21">
        <v>1523</v>
      </c>
      <c r="M18" s="22">
        <f t="shared" si="41"/>
        <v>-19</v>
      </c>
      <c r="N18" s="23">
        <f t="shared" si="3"/>
        <v>-0.01247537754432042</v>
      </c>
      <c r="O18" s="157">
        <f t="shared" si="4"/>
        <v>3847</v>
      </c>
      <c r="P18" s="25">
        <f t="shared" si="4"/>
        <v>3833</v>
      </c>
      <c r="Q18" s="34">
        <f t="shared" si="42"/>
        <v>-14</v>
      </c>
      <c r="R18" s="149">
        <f t="shared" si="5"/>
        <v>-0.003652491521001826</v>
      </c>
      <c r="S18" s="31" t="s">
        <v>14</v>
      </c>
      <c r="T18" s="31">
        <f>SUM('Statistique 02-03'!G8+'Statistique 02-03'!G9+'Statistique 02-03'!G10+'Statistique 02-03'!G11+'Statistique 02-03'!G12+'Statistique 02-03'!G13+'Statistique 02-03'!G14)</f>
        <v>1775</v>
      </c>
      <c r="U18" s="21">
        <v>1422</v>
      </c>
      <c r="V18" s="22">
        <f t="shared" si="43"/>
        <v>-353</v>
      </c>
      <c r="W18" s="23">
        <f t="shared" si="6"/>
        <v>-0.24824191279887484</v>
      </c>
      <c r="X18" s="157">
        <f t="shared" si="7"/>
        <v>5622</v>
      </c>
      <c r="Y18" s="25">
        <f t="shared" si="7"/>
        <v>5255</v>
      </c>
      <c r="Z18" s="34">
        <f t="shared" si="44"/>
        <v>-367</v>
      </c>
      <c r="AA18" s="149">
        <f t="shared" si="8"/>
        <v>-0.06983824928639391</v>
      </c>
      <c r="AB18" s="31" t="s">
        <v>14</v>
      </c>
      <c r="AC18" s="31">
        <f>SUM('Statistique 02-03'!H8+'Statistique 02-03'!H9+'Statistique 02-03'!H10+'Statistique 02-03'!H11+'Statistique 02-03'!H12+'Statistique 02-03'!H13+'Statistique 02-03'!H14)</f>
        <v>1582</v>
      </c>
      <c r="AD18" s="21">
        <v>1507</v>
      </c>
      <c r="AE18" s="22">
        <f t="shared" si="45"/>
        <v>-75</v>
      </c>
      <c r="AF18" s="23">
        <f t="shared" si="9"/>
        <v>-0.0497677504976775</v>
      </c>
      <c r="AG18" s="157">
        <f t="shared" si="10"/>
        <v>7204</v>
      </c>
      <c r="AH18" s="25">
        <f t="shared" si="10"/>
        <v>6762</v>
      </c>
      <c r="AI18" s="34">
        <f t="shared" si="46"/>
        <v>-442</v>
      </c>
      <c r="AJ18" s="149">
        <f t="shared" si="11"/>
        <v>-0.06536527654540077</v>
      </c>
      <c r="AK18" s="31" t="s">
        <v>14</v>
      </c>
      <c r="AL18" s="31">
        <f>SUM('Statistique 02-03'!I8+'Statistique 02-03'!I9+'Statistique 02-03'!I10+'Statistique 02-03'!I11+'Statistique 02-03'!I12+'Statistique 02-03'!I13+'Statistique 02-03'!I14)</f>
        <v>1798</v>
      </c>
      <c r="AM18" s="21">
        <v>1799</v>
      </c>
      <c r="AN18" s="22">
        <f t="shared" si="47"/>
        <v>1</v>
      </c>
      <c r="AO18" s="23">
        <f t="shared" si="12"/>
        <v>0.0005558643690939411</v>
      </c>
      <c r="AP18" s="157">
        <f t="shared" si="13"/>
        <v>9002</v>
      </c>
      <c r="AQ18" s="25">
        <f t="shared" si="13"/>
        <v>8561</v>
      </c>
      <c r="AR18" s="34">
        <f t="shared" si="48"/>
        <v>-441</v>
      </c>
      <c r="AS18" s="149">
        <f t="shared" si="14"/>
        <v>-0.05151267375306623</v>
      </c>
      <c r="AT18" s="31" t="s">
        <v>14</v>
      </c>
      <c r="AU18" s="31">
        <f>SUM('Statistique 02-03'!J8+'Statistique 02-03'!J9+'Statistique 02-03'!J10+'Statistique 02-03'!J11+'Statistique 02-03'!J12+'Statistique 02-03'!J13+'Statistique 02-03'!J14)</f>
        <v>1644</v>
      </c>
      <c r="AV18" s="21">
        <v>1634</v>
      </c>
      <c r="AW18" s="22">
        <f t="shared" si="49"/>
        <v>-10</v>
      </c>
      <c r="AX18" s="23">
        <f t="shared" si="15"/>
        <v>-0.006119951040391677</v>
      </c>
      <c r="AY18" s="157">
        <f t="shared" si="16"/>
        <v>10646</v>
      </c>
      <c r="AZ18" s="25">
        <f t="shared" si="16"/>
        <v>10195</v>
      </c>
      <c r="BA18" s="34">
        <f t="shared" si="50"/>
        <v>-451</v>
      </c>
      <c r="BB18" s="149">
        <f t="shared" si="17"/>
        <v>-0.04423737126042177</v>
      </c>
      <c r="BC18" s="31" t="s">
        <v>14</v>
      </c>
      <c r="BD18" s="31">
        <f>SUM('Statistique 02-03'!K8+'Statistique 02-03'!K9+'Statistique 02-03'!K10+'Statistique 02-03'!K11+'Statistique 02-03'!K12+'Statistique 02-03'!K13+'Statistique 02-03'!K14)</f>
        <v>1992</v>
      </c>
      <c r="BE18" s="21">
        <v>1596</v>
      </c>
      <c r="BF18" s="22">
        <f t="shared" si="51"/>
        <v>-396</v>
      </c>
      <c r="BG18" s="23">
        <f t="shared" si="18"/>
        <v>-0.24812030075187969</v>
      </c>
      <c r="BH18" s="157">
        <f t="shared" si="19"/>
        <v>12638</v>
      </c>
      <c r="BI18" s="25">
        <f t="shared" si="19"/>
        <v>11791</v>
      </c>
      <c r="BJ18" s="34">
        <f t="shared" si="52"/>
        <v>-847</v>
      </c>
      <c r="BK18" s="149">
        <f t="shared" si="20"/>
        <v>-0.07183445000424052</v>
      </c>
      <c r="BL18" s="31" t="s">
        <v>14</v>
      </c>
      <c r="BM18" s="31">
        <f>SUM('Statistique 02-03'!L8+'Statistique 02-03'!L9+'Statistique 02-03'!L10+'Statistique 02-03'!L11+'Statistique 02-03'!L12+'Statistique 02-03'!L13+'Statistique 02-03'!L14)</f>
        <v>2666</v>
      </c>
      <c r="BN18" s="21">
        <v>1610</v>
      </c>
      <c r="BO18" s="22">
        <f t="shared" si="53"/>
        <v>-1056</v>
      </c>
      <c r="BP18" s="23">
        <f t="shared" si="21"/>
        <v>-0.6559006211180124</v>
      </c>
      <c r="BQ18" s="157">
        <f t="shared" si="22"/>
        <v>15304</v>
      </c>
      <c r="BR18" s="25">
        <f t="shared" si="22"/>
        <v>13401</v>
      </c>
      <c r="BS18" s="34">
        <f t="shared" si="54"/>
        <v>-1903</v>
      </c>
      <c r="BT18" s="149">
        <f t="shared" si="23"/>
        <v>-0.14200432803522126</v>
      </c>
      <c r="BU18" s="31" t="s">
        <v>14</v>
      </c>
      <c r="BV18" s="31">
        <f>SUM('Statistique 02-03'!M8+'Statistique 02-03'!M9+'Statistique 02-03'!M10+'Statistique 02-03'!M11+'Statistique 02-03'!M12+'Statistique 02-03'!M13+'Statistique 02-03'!M14)</f>
        <v>1745</v>
      </c>
      <c r="BW18" s="21">
        <v>1735</v>
      </c>
      <c r="BX18" s="22">
        <f t="shared" si="55"/>
        <v>-10</v>
      </c>
      <c r="BY18" s="23">
        <f t="shared" si="24"/>
        <v>-0.005763688760806916</v>
      </c>
      <c r="BZ18" s="157">
        <f t="shared" si="25"/>
        <v>17049</v>
      </c>
      <c r="CA18" s="25">
        <f t="shared" si="25"/>
        <v>15136</v>
      </c>
      <c r="CB18" s="34">
        <f t="shared" si="56"/>
        <v>-1913</v>
      </c>
      <c r="CC18" s="149">
        <f t="shared" si="26"/>
        <v>-0.12638742071881606</v>
      </c>
      <c r="CD18" s="31" t="s">
        <v>14</v>
      </c>
      <c r="CE18" s="161">
        <f>SUM('Statistique 02-03'!N8+'Statistique 02-03'!N9+'Statistique 02-03'!N10+'Statistique 02-03'!N11+'Statistique 02-03'!N12+'Statistique 02-03'!N13+'Statistique 02-03'!N14)</f>
        <v>1912</v>
      </c>
      <c r="CF18" s="21">
        <v>1446</v>
      </c>
      <c r="CG18" s="22">
        <f t="shared" si="57"/>
        <v>-466</v>
      </c>
      <c r="CH18" s="23">
        <f t="shared" si="27"/>
        <v>-0.32226832641770403</v>
      </c>
      <c r="CI18" s="157">
        <f t="shared" si="28"/>
        <v>18961</v>
      </c>
      <c r="CJ18" s="25">
        <f t="shared" si="28"/>
        <v>16582</v>
      </c>
      <c r="CK18" s="34">
        <f t="shared" si="58"/>
        <v>-2379</v>
      </c>
      <c r="CL18" s="149">
        <f t="shared" si="29"/>
        <v>-0.1434688216137981</v>
      </c>
      <c r="CM18" s="31" t="s">
        <v>14</v>
      </c>
      <c r="CN18" s="31">
        <f>SUM('Statistique 02-03'!O8+'Statistique 02-03'!O9+'Statistique 02-03'!O10+'Statistique 02-03'!O11+'Statistique 02-03'!O12+'Statistique 02-03'!O13+'Statistique 02-03'!O14)</f>
        <v>1656</v>
      </c>
      <c r="CO18" s="21">
        <v>1790</v>
      </c>
      <c r="CP18" s="22">
        <f t="shared" si="59"/>
        <v>134</v>
      </c>
      <c r="CQ18" s="23">
        <f t="shared" si="30"/>
        <v>0.07486033519553073</v>
      </c>
      <c r="CR18" s="157">
        <f t="shared" si="31"/>
        <v>20617</v>
      </c>
      <c r="CS18" s="25">
        <f t="shared" si="31"/>
        <v>18372</v>
      </c>
      <c r="CT18" s="34">
        <f t="shared" si="60"/>
        <v>-2245</v>
      </c>
      <c r="CU18" s="149">
        <f t="shared" si="32"/>
        <v>-0.12219682124972785</v>
      </c>
      <c r="CV18" s="31" t="s">
        <v>14</v>
      </c>
      <c r="CW18" s="31">
        <f>SUM('Statistique 02-03'!P8+'Statistique 02-03'!P9+'Statistique 02-03'!P10+'Statistique 02-03'!P11+'Statistique 02-03'!P12+'Statistique 02-03'!P13+'Statistique 02-03'!P14)</f>
        <v>2024</v>
      </c>
      <c r="CX18" s="21">
        <v>1767</v>
      </c>
      <c r="CY18" s="22">
        <f t="shared" si="61"/>
        <v>-257</v>
      </c>
      <c r="CZ18" s="23">
        <f t="shared" si="33"/>
        <v>-0.14544425580079232</v>
      </c>
      <c r="DA18" s="157">
        <f t="shared" si="34"/>
        <v>22641</v>
      </c>
      <c r="DB18" s="25">
        <f t="shared" si="34"/>
        <v>20139</v>
      </c>
      <c r="DC18" s="34">
        <f t="shared" si="62"/>
        <v>-2502</v>
      </c>
      <c r="DD18" s="149">
        <f t="shared" si="35"/>
        <v>-0.12423655593624311</v>
      </c>
      <c r="DE18" s="31" t="s">
        <v>14</v>
      </c>
      <c r="DF18" s="31"/>
      <c r="DG18" s="21">
        <v>1340</v>
      </c>
      <c r="DH18" s="22">
        <f t="shared" si="63"/>
        <v>1340</v>
      </c>
      <c r="DI18" s="23">
        <f t="shared" si="36"/>
        <v>1</v>
      </c>
      <c r="DJ18" s="157">
        <f t="shared" si="37"/>
        <v>22641</v>
      </c>
      <c r="DK18" s="25">
        <f t="shared" si="37"/>
        <v>21479</v>
      </c>
      <c r="DL18" s="34">
        <f t="shared" si="64"/>
        <v>-1162</v>
      </c>
      <c r="DM18" s="149">
        <f t="shared" si="38"/>
        <v>-0.054099352856278225</v>
      </c>
    </row>
    <row r="19" spans="1:117" ht="12.75">
      <c r="A19" s="31" t="s">
        <v>15</v>
      </c>
      <c r="B19" s="31">
        <f>SUM('Statistique 02-03'!E23)</f>
        <v>6125</v>
      </c>
      <c r="C19" s="21">
        <v>3158</v>
      </c>
      <c r="D19" s="22">
        <f t="shared" si="39"/>
        <v>-2967</v>
      </c>
      <c r="E19" s="23">
        <f t="shared" si="0"/>
        <v>-0.9395186827105764</v>
      </c>
      <c r="F19" s="157">
        <f t="shared" si="1"/>
        <v>6125</v>
      </c>
      <c r="G19" s="25">
        <f t="shared" si="1"/>
        <v>3158</v>
      </c>
      <c r="H19" s="34">
        <f t="shared" si="40"/>
        <v>-2967</v>
      </c>
      <c r="I19" s="149">
        <f t="shared" si="2"/>
        <v>-0.9395186827105764</v>
      </c>
      <c r="J19" s="31" t="s">
        <v>15</v>
      </c>
      <c r="K19" s="31">
        <f>SUM('Statistique 02-03'!F23)</f>
        <v>5051</v>
      </c>
      <c r="L19" s="21">
        <v>1318</v>
      </c>
      <c r="M19" s="22">
        <f t="shared" si="41"/>
        <v>-3733</v>
      </c>
      <c r="N19" s="23">
        <f t="shared" si="3"/>
        <v>-2.8323216995447646</v>
      </c>
      <c r="O19" s="157">
        <f t="shared" si="4"/>
        <v>11176</v>
      </c>
      <c r="P19" s="25">
        <f t="shared" si="4"/>
        <v>4476</v>
      </c>
      <c r="Q19" s="34">
        <f t="shared" si="42"/>
        <v>-6700</v>
      </c>
      <c r="R19" s="149">
        <f t="shared" si="5"/>
        <v>-1.4968722073279714</v>
      </c>
      <c r="S19" s="31" t="s">
        <v>15</v>
      </c>
      <c r="T19" s="31">
        <f>SUM('Statistique 02-03'!G23)</f>
        <v>4829</v>
      </c>
      <c r="U19" s="21">
        <v>603</v>
      </c>
      <c r="V19" s="22">
        <f t="shared" si="43"/>
        <v>-4226</v>
      </c>
      <c r="W19" s="23">
        <f t="shared" si="6"/>
        <v>-7.008291873963516</v>
      </c>
      <c r="X19" s="157">
        <f t="shared" si="7"/>
        <v>16005</v>
      </c>
      <c r="Y19" s="25">
        <f t="shared" si="7"/>
        <v>5079</v>
      </c>
      <c r="Z19" s="34">
        <f t="shared" si="44"/>
        <v>-10926</v>
      </c>
      <c r="AA19" s="149">
        <f t="shared" si="8"/>
        <v>-2.151210868281158</v>
      </c>
      <c r="AB19" s="31" t="s">
        <v>15</v>
      </c>
      <c r="AC19" s="31">
        <f>SUM('Statistique 02-03'!H23)</f>
        <v>4975</v>
      </c>
      <c r="AD19" s="21">
        <v>5763</v>
      </c>
      <c r="AE19" s="22">
        <f t="shared" si="45"/>
        <v>788</v>
      </c>
      <c r="AF19" s="23">
        <f t="shared" si="9"/>
        <v>0.13673433975360055</v>
      </c>
      <c r="AG19" s="157">
        <f t="shared" si="10"/>
        <v>20980</v>
      </c>
      <c r="AH19" s="25">
        <f t="shared" si="10"/>
        <v>10842</v>
      </c>
      <c r="AI19" s="34">
        <f t="shared" si="46"/>
        <v>-10138</v>
      </c>
      <c r="AJ19" s="149">
        <f t="shared" si="11"/>
        <v>-0.935067330750784</v>
      </c>
      <c r="AK19" s="31" t="s">
        <v>15</v>
      </c>
      <c r="AL19" s="31">
        <f>SUM('Statistique 02-03'!I23)</f>
        <v>4880</v>
      </c>
      <c r="AM19" s="21">
        <v>5330</v>
      </c>
      <c r="AN19" s="22">
        <f t="shared" si="47"/>
        <v>450</v>
      </c>
      <c r="AO19" s="23">
        <f t="shared" si="12"/>
        <v>0.08442776735459662</v>
      </c>
      <c r="AP19" s="157">
        <f t="shared" si="13"/>
        <v>25860</v>
      </c>
      <c r="AQ19" s="25">
        <f t="shared" si="13"/>
        <v>16172</v>
      </c>
      <c r="AR19" s="34">
        <f t="shared" si="48"/>
        <v>-9688</v>
      </c>
      <c r="AS19" s="149">
        <f t="shared" si="14"/>
        <v>-0.599060103883255</v>
      </c>
      <c r="AT19" s="31" t="s">
        <v>15</v>
      </c>
      <c r="AU19" s="31">
        <f>SUM('Statistique 02-03'!J23)</f>
        <v>6561</v>
      </c>
      <c r="AV19" s="21">
        <v>3005</v>
      </c>
      <c r="AW19" s="22">
        <f t="shared" si="49"/>
        <v>-3556</v>
      </c>
      <c r="AX19" s="23">
        <f t="shared" si="15"/>
        <v>-1.183361064891847</v>
      </c>
      <c r="AY19" s="157">
        <f t="shared" si="16"/>
        <v>32421</v>
      </c>
      <c r="AZ19" s="25">
        <f t="shared" si="16"/>
        <v>19177</v>
      </c>
      <c r="BA19" s="34">
        <f t="shared" si="50"/>
        <v>-13244</v>
      </c>
      <c r="BB19" s="149">
        <f t="shared" si="17"/>
        <v>-0.6906189706419148</v>
      </c>
      <c r="BC19" s="31" t="s">
        <v>15</v>
      </c>
      <c r="BD19" s="31">
        <f>SUM('Statistique 02-03'!K23)</f>
        <v>5631</v>
      </c>
      <c r="BE19" s="21">
        <v>6186</v>
      </c>
      <c r="BF19" s="22">
        <f t="shared" si="51"/>
        <v>555</v>
      </c>
      <c r="BG19" s="23">
        <f t="shared" si="18"/>
        <v>0.08971871968962172</v>
      </c>
      <c r="BH19" s="157">
        <f t="shared" si="19"/>
        <v>38052</v>
      </c>
      <c r="BI19" s="25">
        <f t="shared" si="19"/>
        <v>25363</v>
      </c>
      <c r="BJ19" s="34">
        <f t="shared" si="52"/>
        <v>-12689</v>
      </c>
      <c r="BK19" s="149">
        <f t="shared" si="20"/>
        <v>-0.5002957063438868</v>
      </c>
      <c r="BL19" s="31" t="s">
        <v>15</v>
      </c>
      <c r="BM19" s="31">
        <f>SUM('Statistique 02-03'!L23)</f>
        <v>5268</v>
      </c>
      <c r="BN19" s="21">
        <v>6622</v>
      </c>
      <c r="BO19" s="22">
        <f t="shared" si="53"/>
        <v>1354</v>
      </c>
      <c r="BP19" s="23">
        <f t="shared" si="21"/>
        <v>0.20446994865599516</v>
      </c>
      <c r="BQ19" s="157">
        <f t="shared" si="22"/>
        <v>43320</v>
      </c>
      <c r="BR19" s="25">
        <f t="shared" si="22"/>
        <v>31985</v>
      </c>
      <c r="BS19" s="34">
        <f t="shared" si="54"/>
        <v>-11335</v>
      </c>
      <c r="BT19" s="149">
        <f t="shared" si="23"/>
        <v>-0.3543848679068313</v>
      </c>
      <c r="BU19" s="31" t="s">
        <v>15</v>
      </c>
      <c r="BV19" s="31">
        <f>SUM('Statistique 02-03'!M23)</f>
        <v>6417</v>
      </c>
      <c r="BW19" s="21">
        <v>6663</v>
      </c>
      <c r="BX19" s="22">
        <f t="shared" si="55"/>
        <v>246</v>
      </c>
      <c r="BY19" s="23">
        <f t="shared" si="24"/>
        <v>0.03692030616839262</v>
      </c>
      <c r="BZ19" s="157">
        <f t="shared" si="25"/>
        <v>49737</v>
      </c>
      <c r="CA19" s="25">
        <f t="shared" si="25"/>
        <v>38648</v>
      </c>
      <c r="CB19" s="34">
        <f t="shared" si="56"/>
        <v>-11089</v>
      </c>
      <c r="CC19" s="149">
        <f t="shared" si="26"/>
        <v>-0.28692299730904575</v>
      </c>
      <c r="CD19" s="31" t="s">
        <v>15</v>
      </c>
      <c r="CE19" s="31">
        <f>SUM('Statistique 02-03'!N23)</f>
        <v>4397</v>
      </c>
      <c r="CF19" s="21">
        <v>6805</v>
      </c>
      <c r="CG19" s="22">
        <f t="shared" si="57"/>
        <v>2408</v>
      </c>
      <c r="CH19" s="23">
        <f t="shared" si="27"/>
        <v>0.35385745775165317</v>
      </c>
      <c r="CI19" s="157">
        <f t="shared" si="28"/>
        <v>54134</v>
      </c>
      <c r="CJ19" s="25">
        <f t="shared" si="28"/>
        <v>45453</v>
      </c>
      <c r="CK19" s="34">
        <f t="shared" si="58"/>
        <v>-8681</v>
      </c>
      <c r="CL19" s="149">
        <f t="shared" si="29"/>
        <v>-0.1909884936087827</v>
      </c>
      <c r="CM19" s="31" t="s">
        <v>15</v>
      </c>
      <c r="CN19" s="31">
        <f>SUM('Statistique 02-03'!O23)</f>
        <v>5122</v>
      </c>
      <c r="CO19" s="21">
        <v>8486</v>
      </c>
      <c r="CP19" s="22">
        <f t="shared" si="59"/>
        <v>3364</v>
      </c>
      <c r="CQ19" s="23">
        <f t="shared" si="30"/>
        <v>0.39641762903605937</v>
      </c>
      <c r="CR19" s="157">
        <f t="shared" si="31"/>
        <v>59256</v>
      </c>
      <c r="CS19" s="25">
        <f t="shared" si="31"/>
        <v>53939</v>
      </c>
      <c r="CT19" s="34">
        <f t="shared" si="60"/>
        <v>-5317</v>
      </c>
      <c r="CU19" s="149">
        <f t="shared" si="32"/>
        <v>-0.09857431543039359</v>
      </c>
      <c r="CV19" s="31" t="s">
        <v>15</v>
      </c>
      <c r="CW19" s="31">
        <f>SUM('Statistique 02-03'!P23)</f>
        <v>5464</v>
      </c>
      <c r="CX19" s="21">
        <v>7419</v>
      </c>
      <c r="CY19" s="22">
        <f t="shared" si="61"/>
        <v>1955</v>
      </c>
      <c r="CZ19" s="23">
        <f t="shared" si="33"/>
        <v>0.26351260277665456</v>
      </c>
      <c r="DA19" s="157">
        <f t="shared" si="34"/>
        <v>64720</v>
      </c>
      <c r="DB19" s="25">
        <f t="shared" si="34"/>
        <v>61358</v>
      </c>
      <c r="DC19" s="34">
        <f t="shared" si="62"/>
        <v>-3362</v>
      </c>
      <c r="DD19" s="149">
        <f t="shared" si="35"/>
        <v>-0.054793181003292155</v>
      </c>
      <c r="DE19" s="31" t="s">
        <v>15</v>
      </c>
      <c r="DF19" s="31"/>
      <c r="DG19" s="21">
        <v>5381</v>
      </c>
      <c r="DH19" s="22">
        <f t="shared" si="63"/>
        <v>5381</v>
      </c>
      <c r="DI19" s="23">
        <f t="shared" si="36"/>
        <v>1</v>
      </c>
      <c r="DJ19" s="157">
        <f t="shared" si="37"/>
        <v>64720</v>
      </c>
      <c r="DK19" s="25">
        <f t="shared" si="37"/>
        <v>66739</v>
      </c>
      <c r="DL19" s="34">
        <f t="shared" si="64"/>
        <v>2019</v>
      </c>
      <c r="DM19" s="149">
        <f t="shared" si="38"/>
        <v>0.030252176388618348</v>
      </c>
    </row>
    <row r="20" spans="1:117" ht="13.5" thickBot="1">
      <c r="A20" s="36" t="s">
        <v>124</v>
      </c>
      <c r="B20" s="36">
        <f>'Statistique 02-03'!E61</f>
        <v>6816</v>
      </c>
      <c r="C20" s="37">
        <v>4326</v>
      </c>
      <c r="D20" s="38">
        <f t="shared" si="39"/>
        <v>-2490</v>
      </c>
      <c r="E20" s="39">
        <f t="shared" si="0"/>
        <v>-0.5755894590846047</v>
      </c>
      <c r="F20" s="155">
        <f t="shared" si="1"/>
        <v>6816</v>
      </c>
      <c r="G20" s="25">
        <f t="shared" si="1"/>
        <v>4326</v>
      </c>
      <c r="H20" s="40">
        <f t="shared" si="40"/>
        <v>-2490</v>
      </c>
      <c r="I20" s="150">
        <f t="shared" si="2"/>
        <v>-0.5755894590846047</v>
      </c>
      <c r="J20" s="36" t="s">
        <v>124</v>
      </c>
      <c r="K20" s="36">
        <f>'Statistique 02-03'!F61</f>
        <v>5115</v>
      </c>
      <c r="L20" s="37">
        <v>3678</v>
      </c>
      <c r="M20" s="38">
        <f t="shared" si="41"/>
        <v>-1437</v>
      </c>
      <c r="N20" s="39">
        <f t="shared" si="3"/>
        <v>-0.3907014681892333</v>
      </c>
      <c r="O20" s="159">
        <f t="shared" si="4"/>
        <v>11931</v>
      </c>
      <c r="P20" s="25">
        <f t="shared" si="4"/>
        <v>8004</v>
      </c>
      <c r="Q20" s="40">
        <f t="shared" si="42"/>
        <v>-3927</v>
      </c>
      <c r="R20" s="150">
        <f t="shared" si="5"/>
        <v>-0.4906296851574213</v>
      </c>
      <c r="S20" s="36" t="s">
        <v>124</v>
      </c>
      <c r="T20" s="36">
        <f>'Statistique 02-03'!G61</f>
        <v>4997</v>
      </c>
      <c r="U20" s="37">
        <v>4366</v>
      </c>
      <c r="V20" s="38">
        <f t="shared" si="43"/>
        <v>-631</v>
      </c>
      <c r="W20" s="39">
        <f t="shared" si="6"/>
        <v>-0.1445258818140174</v>
      </c>
      <c r="X20" s="160">
        <f t="shared" si="7"/>
        <v>16928</v>
      </c>
      <c r="Y20" s="25">
        <f t="shared" si="7"/>
        <v>12370</v>
      </c>
      <c r="Z20" s="40">
        <f t="shared" si="44"/>
        <v>-4558</v>
      </c>
      <c r="AA20" s="150">
        <f t="shared" si="8"/>
        <v>-0.36847210994341145</v>
      </c>
      <c r="AB20" s="36" t="s">
        <v>124</v>
      </c>
      <c r="AC20" s="36">
        <f>'Statistique 02-03'!H61</f>
        <v>4477</v>
      </c>
      <c r="AD20" s="37">
        <v>4242</v>
      </c>
      <c r="AE20" s="38">
        <f t="shared" si="45"/>
        <v>-235</v>
      </c>
      <c r="AF20" s="39">
        <f t="shared" si="9"/>
        <v>-0.0553983969825554</v>
      </c>
      <c r="AG20" s="160">
        <f t="shared" si="10"/>
        <v>21405</v>
      </c>
      <c r="AH20" s="25">
        <f t="shared" si="10"/>
        <v>16612</v>
      </c>
      <c r="AI20" s="40">
        <f t="shared" si="46"/>
        <v>-4793</v>
      </c>
      <c r="AJ20" s="150">
        <f t="shared" si="11"/>
        <v>-0.28852636648206115</v>
      </c>
      <c r="AK20" s="36" t="s">
        <v>124</v>
      </c>
      <c r="AL20" s="36">
        <f>'Statistique 02-03'!I61</f>
        <v>4525</v>
      </c>
      <c r="AM20" s="37">
        <v>4904</v>
      </c>
      <c r="AN20" s="38">
        <f t="shared" si="47"/>
        <v>379</v>
      </c>
      <c r="AO20" s="39">
        <f t="shared" si="12"/>
        <v>0.07728384991843393</v>
      </c>
      <c r="AP20" s="159">
        <f t="shared" si="13"/>
        <v>25930</v>
      </c>
      <c r="AQ20" s="25">
        <f t="shared" si="13"/>
        <v>21516</v>
      </c>
      <c r="AR20" s="40">
        <f t="shared" si="48"/>
        <v>-4414</v>
      </c>
      <c r="AS20" s="150">
        <f t="shared" si="14"/>
        <v>-0.20514965606990146</v>
      </c>
      <c r="AT20" s="36" t="s">
        <v>124</v>
      </c>
      <c r="AU20" s="36">
        <f>'Statistique 02-03'!J61</f>
        <v>5240</v>
      </c>
      <c r="AV20" s="37">
        <v>4055</v>
      </c>
      <c r="AW20" s="38">
        <f t="shared" si="49"/>
        <v>-1185</v>
      </c>
      <c r="AX20" s="39">
        <f t="shared" si="15"/>
        <v>-0.2922318125770654</v>
      </c>
      <c r="AY20" s="160">
        <f t="shared" si="16"/>
        <v>31170</v>
      </c>
      <c r="AZ20" s="25">
        <f t="shared" si="16"/>
        <v>25571</v>
      </c>
      <c r="BA20" s="40">
        <f t="shared" si="50"/>
        <v>-5599</v>
      </c>
      <c r="BB20" s="150">
        <f t="shared" si="17"/>
        <v>-0.2189589769660944</v>
      </c>
      <c r="BC20" s="36" t="s">
        <v>124</v>
      </c>
      <c r="BD20" s="36">
        <f>'Statistique 02-03'!K61</f>
        <v>5970</v>
      </c>
      <c r="BE20" s="37">
        <v>4994</v>
      </c>
      <c r="BF20" s="38">
        <f t="shared" si="51"/>
        <v>-976</v>
      </c>
      <c r="BG20" s="39">
        <f t="shared" si="18"/>
        <v>-0.19543452142571086</v>
      </c>
      <c r="BH20" s="160">
        <f t="shared" si="19"/>
        <v>37140</v>
      </c>
      <c r="BI20" s="25">
        <f t="shared" si="19"/>
        <v>30565</v>
      </c>
      <c r="BJ20" s="40">
        <f t="shared" si="52"/>
        <v>-6575</v>
      </c>
      <c r="BK20" s="150">
        <f t="shared" si="20"/>
        <v>-0.2151153279895305</v>
      </c>
      <c r="BL20" s="36" t="s">
        <v>124</v>
      </c>
      <c r="BM20" s="36">
        <f>'Statistique 02-03'!L61</f>
        <v>5239</v>
      </c>
      <c r="BN20" s="37">
        <v>5351</v>
      </c>
      <c r="BO20" s="38">
        <f t="shared" si="53"/>
        <v>112</v>
      </c>
      <c r="BP20" s="39">
        <f t="shared" si="21"/>
        <v>0.020930667165015886</v>
      </c>
      <c r="BQ20" s="160">
        <f t="shared" si="22"/>
        <v>42379</v>
      </c>
      <c r="BR20" s="25">
        <f t="shared" si="22"/>
        <v>35916</v>
      </c>
      <c r="BS20" s="40">
        <f t="shared" si="54"/>
        <v>-6463</v>
      </c>
      <c r="BT20" s="150">
        <f t="shared" si="23"/>
        <v>-0.17994765564093998</v>
      </c>
      <c r="BU20" s="36" t="s">
        <v>124</v>
      </c>
      <c r="BV20" s="36">
        <f>'Statistique 02-03'!M61</f>
        <v>5494</v>
      </c>
      <c r="BW20" s="37">
        <v>5196</v>
      </c>
      <c r="BX20" s="38">
        <f t="shared" si="55"/>
        <v>-298</v>
      </c>
      <c r="BY20" s="39">
        <f t="shared" si="24"/>
        <v>-0.0573518090839107</v>
      </c>
      <c r="BZ20" s="160">
        <f t="shared" si="25"/>
        <v>47873</v>
      </c>
      <c r="CA20" s="25">
        <f t="shared" si="25"/>
        <v>41112</v>
      </c>
      <c r="CB20" s="40">
        <f t="shared" si="56"/>
        <v>-6761</v>
      </c>
      <c r="CC20" s="150">
        <f t="shared" si="26"/>
        <v>-0.16445320101187003</v>
      </c>
      <c r="CD20" s="36" t="s">
        <v>124</v>
      </c>
      <c r="CE20" s="36">
        <f>'Statistique 02-03'!N61</f>
        <v>5040</v>
      </c>
      <c r="CF20" s="37">
        <v>4281</v>
      </c>
      <c r="CG20" s="38">
        <f t="shared" si="57"/>
        <v>-759</v>
      </c>
      <c r="CH20" s="39">
        <f t="shared" si="27"/>
        <v>-0.17729502452697968</v>
      </c>
      <c r="CI20" s="160">
        <f t="shared" si="28"/>
        <v>52913</v>
      </c>
      <c r="CJ20" s="25">
        <f t="shared" si="28"/>
        <v>45393</v>
      </c>
      <c r="CK20" s="40">
        <f t="shared" si="58"/>
        <v>-7520</v>
      </c>
      <c r="CL20" s="150">
        <f t="shared" si="29"/>
        <v>-0.1656643094750292</v>
      </c>
      <c r="CM20" s="36" t="s">
        <v>124</v>
      </c>
      <c r="CN20" s="36">
        <f>'Statistique 02-03'!O61</f>
        <v>5427</v>
      </c>
      <c r="CO20" s="37">
        <v>4932</v>
      </c>
      <c r="CP20" s="38">
        <f t="shared" si="59"/>
        <v>-495</v>
      </c>
      <c r="CQ20" s="39">
        <f t="shared" si="30"/>
        <v>-0.10036496350364964</v>
      </c>
      <c r="CR20" s="160">
        <f t="shared" si="31"/>
        <v>58340</v>
      </c>
      <c r="CS20" s="25">
        <f t="shared" si="31"/>
        <v>50325</v>
      </c>
      <c r="CT20" s="40">
        <f t="shared" si="60"/>
        <v>-8015</v>
      </c>
      <c r="CU20" s="150">
        <f t="shared" si="32"/>
        <v>-0.15926477893691007</v>
      </c>
      <c r="CV20" s="36" t="s">
        <v>124</v>
      </c>
      <c r="CW20" s="36">
        <f>'Statistique 02-03'!P61</f>
        <v>5530</v>
      </c>
      <c r="CX20" s="37">
        <v>4942</v>
      </c>
      <c r="CY20" s="38">
        <f t="shared" si="61"/>
        <v>-588</v>
      </c>
      <c r="CZ20" s="39">
        <f t="shared" si="33"/>
        <v>-0.11898016997167139</v>
      </c>
      <c r="DA20" s="160">
        <f t="shared" si="34"/>
        <v>63870</v>
      </c>
      <c r="DB20" s="25">
        <f t="shared" si="34"/>
        <v>55267</v>
      </c>
      <c r="DC20" s="40">
        <f t="shared" si="62"/>
        <v>-8603</v>
      </c>
      <c r="DD20" s="150">
        <f t="shared" si="35"/>
        <v>-0.15566251108256282</v>
      </c>
      <c r="DE20" s="36" t="s">
        <v>124</v>
      </c>
      <c r="DF20" s="36"/>
      <c r="DG20" s="37">
        <v>4669</v>
      </c>
      <c r="DH20" s="38">
        <f t="shared" si="63"/>
        <v>4669</v>
      </c>
      <c r="DI20" s="39">
        <f t="shared" si="36"/>
        <v>1</v>
      </c>
      <c r="DJ20" s="160">
        <f t="shared" si="37"/>
        <v>63870</v>
      </c>
      <c r="DK20" s="25">
        <f t="shared" si="37"/>
        <v>59936</v>
      </c>
      <c r="DL20" s="40">
        <f t="shared" si="64"/>
        <v>-3934</v>
      </c>
      <c r="DM20" s="150">
        <f t="shared" si="38"/>
        <v>-0.06563667912439936</v>
      </c>
    </row>
    <row r="21" spans="1:117" ht="13.5" thickBot="1">
      <c r="A21" s="45" t="s">
        <v>16</v>
      </c>
      <c r="B21" s="46">
        <f>SUM(B15:B20)</f>
        <v>70445</v>
      </c>
      <c r="C21" s="47">
        <f>SUM(C15:C20)</f>
        <v>58615</v>
      </c>
      <c r="D21" s="46">
        <f t="shared" si="39"/>
        <v>-11830</v>
      </c>
      <c r="E21" s="48">
        <f t="shared" si="0"/>
        <v>-0.2018254712957434</v>
      </c>
      <c r="F21" s="50">
        <f>SUM(F15:F20)</f>
        <v>70445</v>
      </c>
      <c r="G21" s="3">
        <f>SUM(G15:G20)</f>
        <v>58615</v>
      </c>
      <c r="H21" s="50">
        <f t="shared" si="40"/>
        <v>-11830</v>
      </c>
      <c r="I21" s="51">
        <f t="shared" si="2"/>
        <v>-0.2018254712957434</v>
      </c>
      <c r="J21" s="45" t="s">
        <v>16</v>
      </c>
      <c r="K21" s="46">
        <f>SUM(K15:K20)</f>
        <v>53543</v>
      </c>
      <c r="L21" s="47">
        <f>SUM(L15:L20)</f>
        <v>46655</v>
      </c>
      <c r="M21" s="46">
        <f t="shared" si="41"/>
        <v>-6888</v>
      </c>
      <c r="N21" s="48">
        <f t="shared" si="3"/>
        <v>-0.14763690922730682</v>
      </c>
      <c r="O21" s="49">
        <f>SUM(O15:O20)</f>
        <v>123988</v>
      </c>
      <c r="P21" s="3">
        <f>SUM(P15:P20)</f>
        <v>105270</v>
      </c>
      <c r="Q21" s="50">
        <f t="shared" si="42"/>
        <v>-18718</v>
      </c>
      <c r="R21" s="51">
        <f t="shared" si="5"/>
        <v>-0.17780944238624488</v>
      </c>
      <c r="S21" s="45" t="s">
        <v>16</v>
      </c>
      <c r="T21" s="46">
        <f>SUM(T15:T20)</f>
        <v>53263</v>
      </c>
      <c r="U21" s="47">
        <f>SUM(U15:U20)</f>
        <v>47135</v>
      </c>
      <c r="V21" s="46">
        <f t="shared" si="43"/>
        <v>-6128</v>
      </c>
      <c r="W21" s="48">
        <f t="shared" si="6"/>
        <v>-0.13000954704571974</v>
      </c>
      <c r="X21" s="49">
        <f>SUM(X15:X20)</f>
        <v>177251</v>
      </c>
      <c r="Y21" s="3">
        <f>SUM(Y15:Y20)</f>
        <v>152405</v>
      </c>
      <c r="Z21" s="50">
        <f t="shared" si="44"/>
        <v>-24846</v>
      </c>
      <c r="AA21" s="51">
        <f t="shared" si="8"/>
        <v>-0.16302614743610774</v>
      </c>
      <c r="AB21" s="45" t="s">
        <v>16</v>
      </c>
      <c r="AC21" s="46">
        <f>SUM(AC15:AC20)</f>
        <v>44423</v>
      </c>
      <c r="AD21" s="47">
        <f>SUM(AD15:AD20)</f>
        <v>53167</v>
      </c>
      <c r="AE21" s="46">
        <f t="shared" si="45"/>
        <v>8744</v>
      </c>
      <c r="AF21" s="48">
        <f t="shared" si="9"/>
        <v>0.16446291872778226</v>
      </c>
      <c r="AG21" s="49">
        <f>SUM(AG15:AG20)</f>
        <v>221674</v>
      </c>
      <c r="AH21" s="3">
        <f>SUM(AH15:AH20)</f>
        <v>205572</v>
      </c>
      <c r="AI21" s="50">
        <f t="shared" si="46"/>
        <v>-16102</v>
      </c>
      <c r="AJ21" s="51">
        <f t="shared" si="11"/>
        <v>-0.07832778783102758</v>
      </c>
      <c r="AK21" s="45" t="s">
        <v>16</v>
      </c>
      <c r="AL21" s="46">
        <f>SUM(AL15:AL20)</f>
        <v>48876</v>
      </c>
      <c r="AM21" s="47">
        <f>SUM(AM15:AM20)</f>
        <v>55274</v>
      </c>
      <c r="AN21" s="46">
        <f t="shared" si="47"/>
        <v>6398</v>
      </c>
      <c r="AO21" s="48">
        <f t="shared" si="12"/>
        <v>0.1157506241632594</v>
      </c>
      <c r="AP21" s="49">
        <f>SUM(AP15:AP20)</f>
        <v>270550</v>
      </c>
      <c r="AQ21" s="3">
        <f>SUM(AQ15:AQ20)</f>
        <v>260846</v>
      </c>
      <c r="AR21" s="50">
        <f t="shared" si="48"/>
        <v>-9704</v>
      </c>
      <c r="AS21" s="51">
        <f t="shared" si="14"/>
        <v>-0.0372020272497949</v>
      </c>
      <c r="AT21" s="45" t="s">
        <v>16</v>
      </c>
      <c r="AU21" s="46">
        <f>SUM(AU15:AU20)</f>
        <v>52659</v>
      </c>
      <c r="AV21" s="47">
        <f>SUM(AV15:AV20)</f>
        <v>43517</v>
      </c>
      <c r="AW21" s="46">
        <f t="shared" si="49"/>
        <v>-9142</v>
      </c>
      <c r="AX21" s="48">
        <f t="shared" si="15"/>
        <v>-0.21007881977158352</v>
      </c>
      <c r="AY21" s="49">
        <f>SUM(AY15:AY20)</f>
        <v>323209</v>
      </c>
      <c r="AZ21" s="3">
        <f>SUM(AZ15:AZ20)</f>
        <v>304363</v>
      </c>
      <c r="BA21" s="50">
        <f t="shared" si="50"/>
        <v>-18846</v>
      </c>
      <c r="BB21" s="51">
        <f t="shared" si="17"/>
        <v>-0.061919484299997045</v>
      </c>
      <c r="BC21" s="45" t="s">
        <v>16</v>
      </c>
      <c r="BD21" s="46">
        <f>SUM(BD15:BD20)</f>
        <v>55705</v>
      </c>
      <c r="BE21" s="47">
        <f>SUM(BE15:BE20)</f>
        <v>55724</v>
      </c>
      <c r="BF21" s="46">
        <f t="shared" si="51"/>
        <v>19</v>
      </c>
      <c r="BG21" s="48">
        <f t="shared" si="18"/>
        <v>0.00034096619051037256</v>
      </c>
      <c r="BH21" s="49">
        <f>SUM(BH15:BH20)</f>
        <v>378914</v>
      </c>
      <c r="BI21" s="3">
        <f>SUM(BI15:BI20)</f>
        <v>360087</v>
      </c>
      <c r="BJ21" s="50">
        <f t="shared" si="52"/>
        <v>-18827</v>
      </c>
      <c r="BK21" s="51">
        <f t="shared" si="20"/>
        <v>-0.052284586780416954</v>
      </c>
      <c r="BL21" s="45" t="s">
        <v>16</v>
      </c>
      <c r="BM21" s="46">
        <f>SUM(BM15:BM20)</f>
        <v>57762</v>
      </c>
      <c r="BN21" s="47">
        <f>SUM(BN15:BN20)</f>
        <v>56942</v>
      </c>
      <c r="BO21" s="46">
        <f t="shared" si="53"/>
        <v>-820</v>
      </c>
      <c r="BP21" s="48">
        <f t="shared" si="21"/>
        <v>-0.014400618172877666</v>
      </c>
      <c r="BQ21" s="49">
        <f>SUM(BQ15:BQ20)</f>
        <v>436676</v>
      </c>
      <c r="BR21" s="3">
        <f>SUM(BR15:BR20)</f>
        <v>417029</v>
      </c>
      <c r="BS21" s="50">
        <f t="shared" si="54"/>
        <v>-19647</v>
      </c>
      <c r="BT21" s="51">
        <f t="shared" si="23"/>
        <v>-0.047111831551283005</v>
      </c>
      <c r="BU21" s="45" t="s">
        <v>16</v>
      </c>
      <c r="BV21" s="46">
        <f>SUM(BV15:BV20)</f>
        <v>56479</v>
      </c>
      <c r="BW21" s="47">
        <f>SUM(BW15:BW20)</f>
        <v>57941</v>
      </c>
      <c r="BX21" s="46">
        <f t="shared" si="55"/>
        <v>1462</v>
      </c>
      <c r="BY21" s="48">
        <f t="shared" si="24"/>
        <v>0.02523256416009389</v>
      </c>
      <c r="BZ21" s="49">
        <f>SUM(BZ15:BZ20)</f>
        <v>493155</v>
      </c>
      <c r="CA21" s="3">
        <f>SUM(CA15:CA20)</f>
        <v>474970</v>
      </c>
      <c r="CB21" s="50">
        <f t="shared" si="56"/>
        <v>-18185</v>
      </c>
      <c r="CC21" s="51">
        <f t="shared" si="26"/>
        <v>-0.03828662862917658</v>
      </c>
      <c r="CD21" s="45" t="s">
        <v>16</v>
      </c>
      <c r="CE21" s="46">
        <f>SUM(CE15:CE20)</f>
        <v>51321</v>
      </c>
      <c r="CF21" s="47">
        <f>SUM(CF15:CF20)</f>
        <v>53997</v>
      </c>
      <c r="CG21" s="46">
        <f t="shared" si="57"/>
        <v>2676</v>
      </c>
      <c r="CH21" s="48">
        <f t="shared" si="27"/>
        <v>0.04955830879493305</v>
      </c>
      <c r="CI21" s="49">
        <f>SUM(CI15:CI20)</f>
        <v>544476</v>
      </c>
      <c r="CJ21" s="3">
        <f>SUM(CJ15:CJ20)</f>
        <v>528967</v>
      </c>
      <c r="CK21" s="50">
        <f t="shared" si="58"/>
        <v>-15509</v>
      </c>
      <c r="CL21" s="51">
        <f t="shared" si="29"/>
        <v>-0.029319409339334968</v>
      </c>
      <c r="CM21" s="45" t="s">
        <v>16</v>
      </c>
      <c r="CN21" s="46">
        <f>SUM(CN15:CN20)</f>
        <v>56742</v>
      </c>
      <c r="CO21" s="47">
        <f>SUM(CO15:CO20)</f>
        <v>61231</v>
      </c>
      <c r="CP21" s="46">
        <f t="shared" si="59"/>
        <v>4489</v>
      </c>
      <c r="CQ21" s="48">
        <f t="shared" si="30"/>
        <v>0.07331253776681747</v>
      </c>
      <c r="CR21" s="49">
        <f>SUM(CR15:CR20)</f>
        <v>601218</v>
      </c>
      <c r="CS21" s="3">
        <f>SUM(CS15:CS20)</f>
        <v>590198</v>
      </c>
      <c r="CT21" s="50">
        <f t="shared" si="60"/>
        <v>-11020</v>
      </c>
      <c r="CU21" s="51">
        <f t="shared" si="32"/>
        <v>-0.01867170000576078</v>
      </c>
      <c r="CV21" s="45" t="s">
        <v>16</v>
      </c>
      <c r="CW21" s="46">
        <f>SUM(CW15:CW20)</f>
        <v>51800</v>
      </c>
      <c r="CX21" s="47">
        <f>SUM(CX15:CX20)</f>
        <v>58161</v>
      </c>
      <c r="CY21" s="46">
        <f t="shared" si="61"/>
        <v>6361</v>
      </c>
      <c r="CZ21" s="48">
        <f t="shared" si="33"/>
        <v>0.10936882103127525</v>
      </c>
      <c r="DA21" s="49">
        <f>SUM(DA15:DA20)</f>
        <v>653018</v>
      </c>
      <c r="DB21" s="3">
        <f>SUM(DB15:DB20)</f>
        <v>648359</v>
      </c>
      <c r="DC21" s="50">
        <f t="shared" si="62"/>
        <v>-4659</v>
      </c>
      <c r="DD21" s="51">
        <f t="shared" si="35"/>
        <v>-0.007185833774189916</v>
      </c>
      <c r="DE21" s="45" t="s">
        <v>16</v>
      </c>
      <c r="DF21" s="46">
        <f>SUM(DF15:DF20)</f>
        <v>0</v>
      </c>
      <c r="DG21" s="47">
        <f>SUM(DG15:DG20)</f>
        <v>46527</v>
      </c>
      <c r="DH21" s="46">
        <f t="shared" si="63"/>
        <v>46527</v>
      </c>
      <c r="DI21" s="48">
        <f t="shared" si="36"/>
        <v>1</v>
      </c>
      <c r="DJ21" s="49">
        <f>SUM(DJ15:DJ20)</f>
        <v>653018</v>
      </c>
      <c r="DK21" s="3">
        <f>SUM(DK15:DK20)</f>
        <v>694886</v>
      </c>
      <c r="DL21" s="50">
        <f t="shared" si="64"/>
        <v>41868</v>
      </c>
      <c r="DM21" s="51">
        <f t="shared" si="38"/>
        <v>0.06025160961654142</v>
      </c>
    </row>
    <row r="22" spans="1:117" ht="13.5" thickBot="1">
      <c r="A22" s="1" t="s">
        <v>17</v>
      </c>
      <c r="B22" s="47">
        <v>57153</v>
      </c>
      <c r="C22" s="47">
        <v>57758</v>
      </c>
      <c r="D22" s="57"/>
      <c r="E22" s="58"/>
      <c r="F22" s="47">
        <f>SUM(B22)</f>
        <v>57153</v>
      </c>
      <c r="G22" s="47">
        <f>SUM(C22)</f>
        <v>57758</v>
      </c>
      <c r="H22" s="57"/>
      <c r="I22" s="58"/>
      <c r="J22" s="1" t="s">
        <v>17</v>
      </c>
      <c r="K22" s="47">
        <f>SUM('Statistique 02-03'!F64)</f>
        <v>57153</v>
      </c>
      <c r="L22" s="47">
        <v>43954</v>
      </c>
      <c r="M22" s="57"/>
      <c r="N22" s="58"/>
      <c r="O22" s="47">
        <f>SUM(F22+K22)</f>
        <v>114306</v>
      </c>
      <c r="P22" s="47">
        <f>SUM(G22+L22)</f>
        <v>101712</v>
      </c>
      <c r="Q22" s="57"/>
      <c r="R22" s="58"/>
      <c r="S22" s="1" t="s">
        <v>17</v>
      </c>
      <c r="T22" s="47">
        <f>SUM('Statistique 02-03'!G64)</f>
        <v>57261</v>
      </c>
      <c r="U22" s="47">
        <v>43077</v>
      </c>
      <c r="V22" s="57"/>
      <c r="W22" s="58"/>
      <c r="X22" s="47">
        <f>SUM(O22+T22)</f>
        <v>171567</v>
      </c>
      <c r="Y22" s="47">
        <f>SUM(P22+U22)</f>
        <v>144789</v>
      </c>
      <c r="Z22" s="57"/>
      <c r="AA22" s="58"/>
      <c r="AB22" s="1" t="s">
        <v>17</v>
      </c>
      <c r="AC22" s="47">
        <f>SUM('Statistique 02-03'!H64)</f>
        <v>53167</v>
      </c>
      <c r="AD22" s="47">
        <v>43531</v>
      </c>
      <c r="AE22" s="57"/>
      <c r="AF22" s="58"/>
      <c r="AG22" s="47">
        <f>SUM(X22+AC22)</f>
        <v>224734</v>
      </c>
      <c r="AH22" s="47">
        <f>SUM(Y22+AD22)</f>
        <v>188320</v>
      </c>
      <c r="AI22" s="57"/>
      <c r="AJ22" s="58"/>
      <c r="AK22" s="1" t="s">
        <v>17</v>
      </c>
      <c r="AL22" s="47">
        <f>SUM('Statistique 02-03'!I64)</f>
        <v>54891</v>
      </c>
      <c r="AM22" s="47">
        <v>43720</v>
      </c>
      <c r="AN22" s="57"/>
      <c r="AO22" s="58"/>
      <c r="AP22" s="47">
        <f>SUM(AG22+AL22)</f>
        <v>279625</v>
      </c>
      <c r="AQ22" s="47">
        <f>SUM(AH22+AM22)</f>
        <v>232040</v>
      </c>
      <c r="AR22" s="57"/>
      <c r="AS22" s="58"/>
      <c r="AT22" s="1" t="s">
        <v>17</v>
      </c>
      <c r="AU22" s="47">
        <f>SUM('Statistique 02-03'!J64)</f>
        <v>44802</v>
      </c>
      <c r="AV22" s="47">
        <v>44370</v>
      </c>
      <c r="AW22" s="57"/>
      <c r="AX22" s="58"/>
      <c r="AY22" s="47">
        <f>SUM(AP22+AU22)</f>
        <v>324427</v>
      </c>
      <c r="AZ22" s="47">
        <f>SUM(AQ22+AV22)</f>
        <v>276410</v>
      </c>
      <c r="BA22" s="57"/>
      <c r="BB22" s="58"/>
      <c r="BC22" s="1" t="s">
        <v>17</v>
      </c>
      <c r="BD22" s="47">
        <v>54889</v>
      </c>
      <c r="BE22" s="47">
        <v>45957</v>
      </c>
      <c r="BF22" s="57"/>
      <c r="BG22" s="58"/>
      <c r="BH22" s="47">
        <f>SUM(AY22+BD22)</f>
        <v>379316</v>
      </c>
      <c r="BI22" s="47">
        <f>SUM(AZ22+BE22)</f>
        <v>322367</v>
      </c>
      <c r="BJ22" s="57"/>
      <c r="BK22" s="58"/>
      <c r="BL22" s="1" t="s">
        <v>17</v>
      </c>
      <c r="BM22" s="47">
        <v>51795</v>
      </c>
      <c r="BN22" s="47">
        <v>48285</v>
      </c>
      <c r="BO22" s="57"/>
      <c r="BP22" s="58"/>
      <c r="BQ22" s="47">
        <f>SUM(BH22+BM22)</f>
        <v>431111</v>
      </c>
      <c r="BR22" s="47">
        <f>SUM(BI22+BN22)</f>
        <v>370652</v>
      </c>
      <c r="BS22" s="57"/>
      <c r="BT22" s="58"/>
      <c r="BU22" s="1" t="s">
        <v>17</v>
      </c>
      <c r="BV22" s="47">
        <v>57052</v>
      </c>
      <c r="BW22" s="47">
        <v>49624</v>
      </c>
      <c r="BX22" s="57"/>
      <c r="BY22" s="58"/>
      <c r="BZ22" s="47">
        <f>SUM(BQ22+BV22)</f>
        <v>488163</v>
      </c>
      <c r="CA22" s="47">
        <f>SUM(BR22+BW22)</f>
        <v>420276</v>
      </c>
      <c r="CB22" s="57"/>
      <c r="CC22" s="58"/>
      <c r="CD22" s="1" t="s">
        <v>17</v>
      </c>
      <c r="CE22" s="47">
        <v>52447</v>
      </c>
      <c r="CF22" s="47">
        <v>44373</v>
      </c>
      <c r="CG22" s="57"/>
      <c r="CH22" s="58"/>
      <c r="CI22" s="47">
        <f>SUM(BZ22+CE22)</f>
        <v>540610</v>
      </c>
      <c r="CJ22" s="47">
        <f>SUM(CA22+CF22)</f>
        <v>464649</v>
      </c>
      <c r="CK22" s="57"/>
      <c r="CL22" s="58"/>
      <c r="CM22" s="1" t="s">
        <v>17</v>
      </c>
      <c r="CN22" s="47">
        <v>60430</v>
      </c>
      <c r="CO22" s="47">
        <v>48032</v>
      </c>
      <c r="CP22" s="57"/>
      <c r="CQ22" s="58"/>
      <c r="CR22" s="47">
        <f>SUM(CI22+CN22)</f>
        <v>601040</v>
      </c>
      <c r="CS22" s="47">
        <f>SUM(CJ22+CO22)</f>
        <v>512681</v>
      </c>
      <c r="CT22" s="57"/>
      <c r="CU22" s="58"/>
      <c r="CV22" s="1" t="s">
        <v>17</v>
      </c>
      <c r="CW22" s="47">
        <v>63161</v>
      </c>
      <c r="CX22" s="47">
        <v>48115</v>
      </c>
      <c r="CY22" s="57"/>
      <c r="CZ22" s="58"/>
      <c r="DA22" s="47">
        <f>SUM(CR22+CW22)</f>
        <v>664201</v>
      </c>
      <c r="DB22" s="47">
        <f>SUM(CS22+CX22)</f>
        <v>560796</v>
      </c>
      <c r="DC22" s="57"/>
      <c r="DD22" s="58"/>
      <c r="DE22" s="1" t="s">
        <v>17</v>
      </c>
      <c r="DF22" s="47">
        <v>46527</v>
      </c>
      <c r="DG22" s="47">
        <v>38380</v>
      </c>
      <c r="DH22" s="57"/>
      <c r="DI22" s="58"/>
      <c r="DJ22" s="47">
        <f>SUM(DA22+DF22)</f>
        <v>710728</v>
      </c>
      <c r="DK22" s="47">
        <f>SUM(DB22+DG22)</f>
        <v>599176</v>
      </c>
      <c r="DL22" s="57"/>
      <c r="DM22" s="58"/>
    </row>
    <row r="23" spans="1:117" ht="13.5" thickBot="1">
      <c r="A23" s="45" t="s">
        <v>18</v>
      </c>
      <c r="B23" s="46">
        <f>B22-B21</f>
        <v>-13292</v>
      </c>
      <c r="C23" s="46">
        <f>C22-C21</f>
        <v>-857</v>
      </c>
      <c r="D23" s="61"/>
      <c r="E23" s="62"/>
      <c r="F23" s="63">
        <f>F22-F21</f>
        <v>-13292</v>
      </c>
      <c r="G23" s="46">
        <f>G22-G21</f>
        <v>-857</v>
      </c>
      <c r="H23" s="61"/>
      <c r="I23" s="62"/>
      <c r="J23" s="45" t="s">
        <v>18</v>
      </c>
      <c r="K23" s="46">
        <f>K22-K21</f>
        <v>3610</v>
      </c>
      <c r="L23" s="46">
        <f>L22-L21</f>
        <v>-2701</v>
      </c>
      <c r="M23" s="61"/>
      <c r="N23" s="62"/>
      <c r="O23" s="63">
        <f>O22-O21</f>
        <v>-9682</v>
      </c>
      <c r="P23" s="46">
        <f>P22-P21</f>
        <v>-3558</v>
      </c>
      <c r="Q23" s="61"/>
      <c r="R23" s="62"/>
      <c r="S23" s="45" t="s">
        <v>18</v>
      </c>
      <c r="T23" s="46">
        <f>T22-T21</f>
        <v>3998</v>
      </c>
      <c r="U23" s="46">
        <f>U22-U21</f>
        <v>-4058</v>
      </c>
      <c r="V23" s="61"/>
      <c r="W23" s="62"/>
      <c r="X23" s="63">
        <f>X22-X21</f>
        <v>-5684</v>
      </c>
      <c r="Y23" s="46">
        <f>Y22-Y21</f>
        <v>-7616</v>
      </c>
      <c r="Z23" s="61"/>
      <c r="AA23" s="62"/>
      <c r="AB23" s="45" t="s">
        <v>18</v>
      </c>
      <c r="AC23" s="46">
        <f>AC22-AC21</f>
        <v>8744</v>
      </c>
      <c r="AD23" s="46">
        <f>AD22-AD21</f>
        <v>-9636</v>
      </c>
      <c r="AE23" s="61"/>
      <c r="AF23" s="62"/>
      <c r="AG23" s="63">
        <f>AG22-AG21</f>
        <v>3060</v>
      </c>
      <c r="AH23" s="46">
        <f>AH22-AH21</f>
        <v>-17252</v>
      </c>
      <c r="AI23" s="61"/>
      <c r="AJ23" s="62"/>
      <c r="AK23" s="45" t="s">
        <v>18</v>
      </c>
      <c r="AL23" s="46">
        <f>AL22-AL21</f>
        <v>6015</v>
      </c>
      <c r="AM23" s="46">
        <f>AM22-AM21</f>
        <v>-11554</v>
      </c>
      <c r="AN23" s="61"/>
      <c r="AO23" s="62"/>
      <c r="AP23" s="63">
        <f>AP22-AP21</f>
        <v>9075</v>
      </c>
      <c r="AQ23" s="46">
        <f>AQ22-AQ21</f>
        <v>-28806</v>
      </c>
      <c r="AR23" s="61"/>
      <c r="AS23" s="62"/>
      <c r="AT23" s="45" t="s">
        <v>18</v>
      </c>
      <c r="AU23" s="46">
        <f>AU22-AU21</f>
        <v>-7857</v>
      </c>
      <c r="AV23" s="46">
        <f>AV22-AV21</f>
        <v>853</v>
      </c>
      <c r="AW23" s="61"/>
      <c r="AX23" s="62"/>
      <c r="AY23" s="63">
        <f>AY22-AY21</f>
        <v>1218</v>
      </c>
      <c r="AZ23" s="46">
        <f>AZ22-AZ21</f>
        <v>-27953</v>
      </c>
      <c r="BA23" s="61"/>
      <c r="BB23" s="62"/>
      <c r="BC23" s="45" t="s">
        <v>18</v>
      </c>
      <c r="BD23" s="46">
        <f>BD22-BD21</f>
        <v>-816</v>
      </c>
      <c r="BE23" s="46">
        <f>BE22-BE21</f>
        <v>-9767</v>
      </c>
      <c r="BF23" s="61"/>
      <c r="BG23" s="62"/>
      <c r="BH23" s="63">
        <f>BH22-BH21</f>
        <v>402</v>
      </c>
      <c r="BI23" s="46">
        <f>BI22-BI21</f>
        <v>-37720</v>
      </c>
      <c r="BJ23" s="61"/>
      <c r="BK23" s="62"/>
      <c r="BL23" s="45" t="s">
        <v>18</v>
      </c>
      <c r="BM23" s="46">
        <f>BM22-BM21</f>
        <v>-5967</v>
      </c>
      <c r="BN23" s="46">
        <f>BN22-BN21</f>
        <v>-8657</v>
      </c>
      <c r="BO23" s="61"/>
      <c r="BP23" s="62"/>
      <c r="BQ23" s="63">
        <f>BQ22-BQ21</f>
        <v>-5565</v>
      </c>
      <c r="BR23" s="46">
        <f>BR22-BR21</f>
        <v>-46377</v>
      </c>
      <c r="BS23" s="61"/>
      <c r="BT23" s="62"/>
      <c r="BU23" s="45" t="s">
        <v>18</v>
      </c>
      <c r="BV23" s="46">
        <f>BV22-BV21</f>
        <v>573</v>
      </c>
      <c r="BW23" s="46">
        <f>BW22-BW21</f>
        <v>-8317</v>
      </c>
      <c r="BX23" s="61"/>
      <c r="BY23" s="62"/>
      <c r="BZ23" s="63">
        <f>BZ22-BZ21</f>
        <v>-4992</v>
      </c>
      <c r="CA23" s="46">
        <f>CA22-CA21</f>
        <v>-54694</v>
      </c>
      <c r="CB23" s="61"/>
      <c r="CC23" s="62"/>
      <c r="CD23" s="45" t="s">
        <v>18</v>
      </c>
      <c r="CE23" s="46">
        <f>CE22-CE21</f>
        <v>1126</v>
      </c>
      <c r="CF23" s="46">
        <f>CF22-CF21</f>
        <v>-9624</v>
      </c>
      <c r="CG23" s="61"/>
      <c r="CH23" s="62"/>
      <c r="CI23" s="63">
        <f>CI22-CI21</f>
        <v>-3866</v>
      </c>
      <c r="CJ23" s="46">
        <f>CJ22-CJ21</f>
        <v>-64318</v>
      </c>
      <c r="CK23" s="61"/>
      <c r="CL23" s="62"/>
      <c r="CM23" s="45" t="s">
        <v>18</v>
      </c>
      <c r="CN23" s="46">
        <f>CN22-CN21</f>
        <v>3688</v>
      </c>
      <c r="CO23" s="46">
        <f>CO22-CO21</f>
        <v>-13199</v>
      </c>
      <c r="CP23" s="61"/>
      <c r="CQ23" s="62"/>
      <c r="CR23" s="63">
        <f>CR22-CR21</f>
        <v>-178</v>
      </c>
      <c r="CS23" s="46">
        <f>CS22-CS21</f>
        <v>-77517</v>
      </c>
      <c r="CT23" s="61"/>
      <c r="CU23" s="62"/>
      <c r="CV23" s="45" t="s">
        <v>18</v>
      </c>
      <c r="CW23" s="46">
        <f>CW22-CW21</f>
        <v>11361</v>
      </c>
      <c r="CX23" s="46">
        <f>CX22-CX21</f>
        <v>-10046</v>
      </c>
      <c r="CY23" s="61"/>
      <c r="CZ23" s="62"/>
      <c r="DA23" s="63">
        <f>DA22-DA21</f>
        <v>11183</v>
      </c>
      <c r="DB23" s="46">
        <f>DB22-DB21</f>
        <v>-87563</v>
      </c>
      <c r="DC23" s="61"/>
      <c r="DD23" s="62"/>
      <c r="DE23" s="45" t="s">
        <v>18</v>
      </c>
      <c r="DF23" s="46">
        <f>DF22-DF21</f>
        <v>46527</v>
      </c>
      <c r="DG23" s="46">
        <f>DG22-DG21</f>
        <v>-8147</v>
      </c>
      <c r="DH23" s="61"/>
      <c r="DI23" s="62"/>
      <c r="DJ23" s="63">
        <f>DJ22-DJ21</f>
        <v>57710</v>
      </c>
      <c r="DK23" s="46">
        <f>DK22-DK21</f>
        <v>-95710</v>
      </c>
      <c r="DL23" s="61"/>
      <c r="DM23" s="62"/>
    </row>
    <row r="24" spans="1:117" ht="13.5" thickBot="1">
      <c r="A24" s="47" t="s">
        <v>4</v>
      </c>
      <c r="B24" s="66">
        <f>B23/B22</f>
        <v>-0.2325687190523682</v>
      </c>
      <c r="C24" s="66">
        <f>C23/C22</f>
        <v>-0.014837771390976142</v>
      </c>
      <c r="D24" s="67"/>
      <c r="E24" s="68"/>
      <c r="F24" s="66">
        <f>F23/F22</f>
        <v>-0.2325687190523682</v>
      </c>
      <c r="G24" s="66">
        <f>G23/G22</f>
        <v>-0.014837771390976142</v>
      </c>
      <c r="H24" s="67"/>
      <c r="I24" s="68"/>
      <c r="J24" s="47" t="s">
        <v>4</v>
      </c>
      <c r="K24" s="66">
        <f>K23/K22</f>
        <v>0.06316378842755412</v>
      </c>
      <c r="L24" s="66">
        <f>L23/L22</f>
        <v>-0.061450607453246577</v>
      </c>
      <c r="M24" s="67"/>
      <c r="N24" s="68"/>
      <c r="O24" s="66">
        <f>O23/O22</f>
        <v>-0.08470246531240705</v>
      </c>
      <c r="P24" s="66">
        <f>P23/P22</f>
        <v>-0.03498112317130722</v>
      </c>
      <c r="Q24" s="67"/>
      <c r="R24" s="68"/>
      <c r="S24" s="47" t="s">
        <v>4</v>
      </c>
      <c r="T24" s="66">
        <f>T23/T22</f>
        <v>0.06982064581477794</v>
      </c>
      <c r="U24" s="66">
        <f>U23/U22</f>
        <v>-0.09420340320820855</v>
      </c>
      <c r="V24" s="67"/>
      <c r="W24" s="68"/>
      <c r="X24" s="66">
        <f>X23/X22</f>
        <v>-0.03312991426090099</v>
      </c>
      <c r="Y24" s="66">
        <f>Y23/Y22</f>
        <v>-0.052600680990959256</v>
      </c>
      <c r="Z24" s="67"/>
      <c r="AA24" s="68"/>
      <c r="AB24" s="47" t="s">
        <v>4</v>
      </c>
      <c r="AC24" s="66">
        <f>AC23/AC22</f>
        <v>0.16446291872778226</v>
      </c>
      <c r="AD24" s="66">
        <f>AD23/AD22</f>
        <v>-0.22135949093749283</v>
      </c>
      <c r="AE24" s="67"/>
      <c r="AF24" s="68"/>
      <c r="AG24" s="66">
        <f>AG23/AG22</f>
        <v>0.013616097252752143</v>
      </c>
      <c r="AH24" s="66">
        <f>AH23/AH22</f>
        <v>-0.09161002548853016</v>
      </c>
      <c r="AI24" s="67"/>
      <c r="AJ24" s="68"/>
      <c r="AK24" s="47" t="s">
        <v>4</v>
      </c>
      <c r="AL24" s="66">
        <f>AL23/AL22</f>
        <v>0.10958080559654589</v>
      </c>
      <c r="AM24" s="66">
        <f>AM23/AM22</f>
        <v>-0.2642726440988106</v>
      </c>
      <c r="AN24" s="67"/>
      <c r="AO24" s="68"/>
      <c r="AP24" s="66">
        <f>AP23/AP22</f>
        <v>0.032454179704962005</v>
      </c>
      <c r="AQ24" s="66">
        <f>AQ23/AQ22</f>
        <v>-0.12414238924323392</v>
      </c>
      <c r="AR24" s="67"/>
      <c r="AS24" s="68"/>
      <c r="AT24" s="47" t="s">
        <v>4</v>
      </c>
      <c r="AU24" s="66">
        <f>AU23/AU22</f>
        <v>-0.17537163519485738</v>
      </c>
      <c r="AV24" s="66">
        <f>AV23/AV22</f>
        <v>0.019224701374802793</v>
      </c>
      <c r="AW24" s="67"/>
      <c r="AX24" s="68"/>
      <c r="AY24" s="66">
        <f>AY23/AY22</f>
        <v>0.0037543114475675574</v>
      </c>
      <c r="AZ24" s="66">
        <f>AZ23/AZ22</f>
        <v>-0.10112875800441373</v>
      </c>
      <c r="BA24" s="67"/>
      <c r="BB24" s="68"/>
      <c r="BC24" s="47" t="s">
        <v>4</v>
      </c>
      <c r="BD24" s="66">
        <f>BD23/BD22</f>
        <v>-0.014866366667273952</v>
      </c>
      <c r="BE24" s="66">
        <f>BE23/BE22</f>
        <v>-0.212524751398046</v>
      </c>
      <c r="BF24" s="67"/>
      <c r="BG24" s="68"/>
      <c r="BH24" s="66">
        <f>BH23/BH22</f>
        <v>0.0010598023811281359</v>
      </c>
      <c r="BI24" s="66">
        <f>BI23/BI22</f>
        <v>-0.117009495388796</v>
      </c>
      <c r="BJ24" s="67"/>
      <c r="BK24" s="68"/>
      <c r="BL24" s="47" t="s">
        <v>4</v>
      </c>
      <c r="BM24" s="66">
        <f>BM23/BM22</f>
        <v>-0.11520417028670721</v>
      </c>
      <c r="BN24" s="66">
        <f>BN23/BN22</f>
        <v>-0.17928963446204826</v>
      </c>
      <c r="BO24" s="67"/>
      <c r="BP24" s="68"/>
      <c r="BQ24" s="66">
        <f>BQ23/BQ22</f>
        <v>-0.01290850848157435</v>
      </c>
      <c r="BR24" s="66">
        <f>BR23/BR22</f>
        <v>-0.1251227566558389</v>
      </c>
      <c r="BS24" s="67"/>
      <c r="BT24" s="68"/>
      <c r="BU24" s="47" t="s">
        <v>4</v>
      </c>
      <c r="BV24" s="66">
        <f>BV23/BV22</f>
        <v>0.010043469115894273</v>
      </c>
      <c r="BW24" s="66">
        <f>BW23/BW22</f>
        <v>-0.16760035466709658</v>
      </c>
      <c r="BX24" s="67"/>
      <c r="BY24" s="68"/>
      <c r="BZ24" s="66">
        <f>BZ23/BZ22</f>
        <v>-0.010226092514180714</v>
      </c>
      <c r="CA24" s="66">
        <f>CA23/CA22</f>
        <v>-0.13013829007604527</v>
      </c>
      <c r="CB24" s="67"/>
      <c r="CC24" s="68"/>
      <c r="CD24" s="47" t="s">
        <v>4</v>
      </c>
      <c r="CE24" s="66">
        <f>CE23/CE22</f>
        <v>0.021469292809884265</v>
      </c>
      <c r="CF24" s="66">
        <f>CF23/CF22</f>
        <v>-0.21688864850246772</v>
      </c>
      <c r="CG24" s="67"/>
      <c r="CH24" s="68"/>
      <c r="CI24" s="66">
        <f>CI23/CI22</f>
        <v>-0.00715118107323209</v>
      </c>
      <c r="CJ24" s="66">
        <f>CJ23/CJ22</f>
        <v>-0.1384227664322962</v>
      </c>
      <c r="CK24" s="67"/>
      <c r="CL24" s="68"/>
      <c r="CM24" s="47" t="s">
        <v>4</v>
      </c>
      <c r="CN24" s="66">
        <f>CN23/CN22</f>
        <v>0.06102929008770478</v>
      </c>
      <c r="CO24" s="66">
        <f>CO23/CO22</f>
        <v>-0.27479596935376416</v>
      </c>
      <c r="CP24" s="67"/>
      <c r="CQ24" s="68"/>
      <c r="CR24" s="66">
        <f>CR23/CR22</f>
        <v>-0.0002961533342206841</v>
      </c>
      <c r="CS24" s="66">
        <f>CS23/CS22</f>
        <v>-0.1511992837651483</v>
      </c>
      <c r="CT24" s="67"/>
      <c r="CU24" s="68"/>
      <c r="CV24" s="47" t="s">
        <v>4</v>
      </c>
      <c r="CW24" s="66">
        <f>CW23/CW22</f>
        <v>0.1798736562119029</v>
      </c>
      <c r="CX24" s="66">
        <f>CX23/CX22</f>
        <v>-0.20879143718175205</v>
      </c>
      <c r="CY24" s="67"/>
      <c r="CZ24" s="68"/>
      <c r="DA24" s="66">
        <f>DA23/DA22</f>
        <v>0.016836770796791935</v>
      </c>
      <c r="DB24" s="66">
        <f>DB23/DB22</f>
        <v>-0.15614055735062304</v>
      </c>
      <c r="DC24" s="67"/>
      <c r="DD24" s="68"/>
      <c r="DE24" s="47" t="s">
        <v>4</v>
      </c>
      <c r="DF24" s="66">
        <f>DF23/DF22</f>
        <v>1</v>
      </c>
      <c r="DG24" s="66">
        <f>DG23/DG22</f>
        <v>-0.21227201667535175</v>
      </c>
      <c r="DH24" s="67"/>
      <c r="DI24" s="68"/>
      <c r="DJ24" s="66">
        <f>DJ23/DJ22</f>
        <v>0.08119843315586273</v>
      </c>
      <c r="DK24" s="66">
        <f>DK23/DK22</f>
        <v>-0.15973603749148832</v>
      </c>
      <c r="DL24" s="67"/>
      <c r="DM24" s="68"/>
    </row>
    <row r="27" spans="2:110" ht="13.5" thickBot="1">
      <c r="B27" s="115"/>
      <c r="C27" s="115"/>
      <c r="K27" s="115"/>
      <c r="T27" s="115"/>
      <c r="AC27" s="115"/>
      <c r="AL27" s="115"/>
      <c r="AU27" s="115"/>
      <c r="BD27" s="115"/>
      <c r="BM27" s="115"/>
      <c r="BV27" s="115"/>
      <c r="CE27" s="115"/>
      <c r="CN27" s="115"/>
      <c r="CW27" s="115"/>
      <c r="DF27" s="115"/>
    </row>
    <row r="28" spans="2:116" ht="12.75">
      <c r="B28" s="146" t="s">
        <v>3</v>
      </c>
      <c r="C28" s="7" t="s">
        <v>3</v>
      </c>
      <c r="D28" s="8" t="s">
        <v>4</v>
      </c>
      <c r="E28" s="7" t="s">
        <v>3</v>
      </c>
      <c r="F28" s="8" t="s">
        <v>4</v>
      </c>
      <c r="G28" s="9" t="s">
        <v>3</v>
      </c>
      <c r="H28" s="8" t="s">
        <v>4</v>
      </c>
      <c r="K28" s="146" t="s">
        <v>3</v>
      </c>
      <c r="L28" s="7" t="s">
        <v>3</v>
      </c>
      <c r="M28" s="8" t="s">
        <v>4</v>
      </c>
      <c r="N28" s="7" t="s">
        <v>3</v>
      </c>
      <c r="O28" s="8" t="s">
        <v>4</v>
      </c>
      <c r="P28" s="9" t="s">
        <v>3</v>
      </c>
      <c r="Q28" s="8" t="s">
        <v>4</v>
      </c>
      <c r="T28" s="146" t="s">
        <v>3</v>
      </c>
      <c r="U28" s="7" t="s">
        <v>3</v>
      </c>
      <c r="V28" s="8" t="s">
        <v>4</v>
      </c>
      <c r="W28" s="7" t="s">
        <v>3</v>
      </c>
      <c r="X28" s="8" t="s">
        <v>4</v>
      </c>
      <c r="Y28" s="9" t="s">
        <v>3</v>
      </c>
      <c r="Z28" s="8" t="s">
        <v>4</v>
      </c>
      <c r="AC28" s="146" t="s">
        <v>3</v>
      </c>
      <c r="AD28" s="7" t="s">
        <v>3</v>
      </c>
      <c r="AE28" s="8" t="s">
        <v>4</v>
      </c>
      <c r="AF28" s="7" t="s">
        <v>3</v>
      </c>
      <c r="AG28" s="8" t="s">
        <v>4</v>
      </c>
      <c r="AH28" s="9" t="s">
        <v>3</v>
      </c>
      <c r="AI28" s="8" t="s">
        <v>4</v>
      </c>
      <c r="AL28" s="146" t="s">
        <v>3</v>
      </c>
      <c r="AM28" s="7" t="s">
        <v>3</v>
      </c>
      <c r="AN28" s="8" t="s">
        <v>4</v>
      </c>
      <c r="AO28" s="7" t="s">
        <v>3</v>
      </c>
      <c r="AP28" s="8" t="s">
        <v>4</v>
      </c>
      <c r="AQ28" s="9" t="s">
        <v>3</v>
      </c>
      <c r="AR28" s="8" t="s">
        <v>4</v>
      </c>
      <c r="AU28" s="146" t="s">
        <v>3</v>
      </c>
      <c r="AV28" s="7" t="s">
        <v>3</v>
      </c>
      <c r="AW28" s="8" t="s">
        <v>4</v>
      </c>
      <c r="AX28" s="7" t="s">
        <v>3</v>
      </c>
      <c r="AY28" s="8" t="s">
        <v>4</v>
      </c>
      <c r="AZ28" s="9" t="s">
        <v>3</v>
      </c>
      <c r="BA28" s="8" t="s">
        <v>4</v>
      </c>
      <c r="BD28" s="146" t="s">
        <v>3</v>
      </c>
      <c r="BE28" s="7" t="s">
        <v>3</v>
      </c>
      <c r="BF28" s="8" t="s">
        <v>4</v>
      </c>
      <c r="BG28" s="7" t="s">
        <v>3</v>
      </c>
      <c r="BH28" s="8" t="s">
        <v>4</v>
      </c>
      <c r="BI28" s="9" t="s">
        <v>3</v>
      </c>
      <c r="BJ28" s="8" t="s">
        <v>4</v>
      </c>
      <c r="BM28" s="146" t="s">
        <v>3</v>
      </c>
      <c r="BN28" s="7" t="s">
        <v>3</v>
      </c>
      <c r="BO28" s="8" t="s">
        <v>4</v>
      </c>
      <c r="BP28" s="7" t="s">
        <v>3</v>
      </c>
      <c r="BQ28" s="8" t="s">
        <v>4</v>
      </c>
      <c r="BR28" s="9" t="s">
        <v>3</v>
      </c>
      <c r="BS28" s="8" t="s">
        <v>4</v>
      </c>
      <c r="BV28" s="146" t="s">
        <v>3</v>
      </c>
      <c r="BW28" s="7" t="s">
        <v>3</v>
      </c>
      <c r="BX28" s="8" t="s">
        <v>4</v>
      </c>
      <c r="BY28" s="7" t="s">
        <v>3</v>
      </c>
      <c r="BZ28" s="8" t="s">
        <v>4</v>
      </c>
      <c r="CA28" s="9" t="s">
        <v>3</v>
      </c>
      <c r="CB28" s="8" t="s">
        <v>4</v>
      </c>
      <c r="CE28" s="146" t="s">
        <v>3</v>
      </c>
      <c r="CF28" s="7" t="s">
        <v>3</v>
      </c>
      <c r="CG28" s="8" t="s">
        <v>4</v>
      </c>
      <c r="CH28" s="7" t="s">
        <v>3</v>
      </c>
      <c r="CI28" s="8" t="s">
        <v>4</v>
      </c>
      <c r="CJ28" s="9" t="s">
        <v>3</v>
      </c>
      <c r="CK28" s="8" t="s">
        <v>4</v>
      </c>
      <c r="CN28" s="146" t="s">
        <v>3</v>
      </c>
      <c r="CO28" s="7" t="s">
        <v>3</v>
      </c>
      <c r="CP28" s="8" t="s">
        <v>4</v>
      </c>
      <c r="CQ28" s="7" t="s">
        <v>3</v>
      </c>
      <c r="CR28" s="8" t="s">
        <v>4</v>
      </c>
      <c r="CS28" s="9" t="s">
        <v>3</v>
      </c>
      <c r="CT28" s="8" t="s">
        <v>4</v>
      </c>
      <c r="CW28" s="146" t="s">
        <v>3</v>
      </c>
      <c r="CX28" s="7" t="s">
        <v>3</v>
      </c>
      <c r="CY28" s="8" t="s">
        <v>4</v>
      </c>
      <c r="CZ28" s="7" t="s">
        <v>3</v>
      </c>
      <c r="DA28" s="8" t="s">
        <v>4</v>
      </c>
      <c r="DB28" s="9" t="s">
        <v>3</v>
      </c>
      <c r="DC28" s="8" t="s">
        <v>4</v>
      </c>
      <c r="DF28" s="146" t="s">
        <v>3</v>
      </c>
      <c r="DG28" s="7" t="s">
        <v>3</v>
      </c>
      <c r="DH28" s="8" t="s">
        <v>4</v>
      </c>
      <c r="DI28" s="7" t="s">
        <v>3</v>
      </c>
      <c r="DJ28" s="8" t="s">
        <v>4</v>
      </c>
      <c r="DK28" s="9" t="s">
        <v>3</v>
      </c>
      <c r="DL28" s="8" t="s">
        <v>4</v>
      </c>
    </row>
    <row r="29" spans="2:116" ht="12.75">
      <c r="B29" s="13" t="s">
        <v>126</v>
      </c>
      <c r="C29" s="12"/>
      <c r="D29" s="435" t="s">
        <v>67</v>
      </c>
      <c r="E29" s="12"/>
      <c r="F29" s="13" t="s">
        <v>5</v>
      </c>
      <c r="G29" s="14"/>
      <c r="H29" s="13" t="s">
        <v>6</v>
      </c>
      <c r="K29" s="13" t="s">
        <v>126</v>
      </c>
      <c r="L29" s="12"/>
      <c r="M29" s="435" t="s">
        <v>67</v>
      </c>
      <c r="N29" s="12"/>
      <c r="O29" s="435" t="s">
        <v>5</v>
      </c>
      <c r="P29" s="14"/>
      <c r="Q29" s="435" t="s">
        <v>6</v>
      </c>
      <c r="T29" s="13" t="s">
        <v>126</v>
      </c>
      <c r="U29" s="12"/>
      <c r="V29" s="435" t="s">
        <v>67</v>
      </c>
      <c r="W29" s="12"/>
      <c r="X29" s="435" t="s">
        <v>5</v>
      </c>
      <c r="Y29" s="14"/>
      <c r="Z29" s="13" t="s">
        <v>6</v>
      </c>
      <c r="AC29" s="13" t="s">
        <v>126</v>
      </c>
      <c r="AD29" s="12"/>
      <c r="AE29" s="435" t="s">
        <v>67</v>
      </c>
      <c r="AF29" s="12"/>
      <c r="AG29" s="435" t="s">
        <v>5</v>
      </c>
      <c r="AH29" s="14"/>
      <c r="AI29" s="435" t="s">
        <v>6</v>
      </c>
      <c r="AL29" s="13" t="s">
        <v>126</v>
      </c>
      <c r="AM29" s="12"/>
      <c r="AN29" s="435" t="s">
        <v>67</v>
      </c>
      <c r="AO29" s="12"/>
      <c r="AP29" s="435" t="s">
        <v>5</v>
      </c>
      <c r="AQ29" s="14"/>
      <c r="AR29" s="435" t="s">
        <v>6</v>
      </c>
      <c r="AU29" s="13" t="s">
        <v>126</v>
      </c>
      <c r="AV29" s="12"/>
      <c r="AW29" s="435" t="s">
        <v>67</v>
      </c>
      <c r="AX29" s="12"/>
      <c r="AY29" s="435" t="s">
        <v>5</v>
      </c>
      <c r="AZ29" s="14"/>
      <c r="BA29" s="435" t="s">
        <v>253</v>
      </c>
      <c r="BD29" s="13" t="s">
        <v>126</v>
      </c>
      <c r="BE29" s="12"/>
      <c r="BF29" s="435" t="s">
        <v>67</v>
      </c>
      <c r="BG29" s="12"/>
      <c r="BH29" s="435" t="s">
        <v>5</v>
      </c>
      <c r="BI29" s="14"/>
      <c r="BJ29" s="435" t="s">
        <v>6</v>
      </c>
      <c r="BM29" s="13" t="s">
        <v>126</v>
      </c>
      <c r="BN29" s="12"/>
      <c r="BO29" s="435" t="s">
        <v>67</v>
      </c>
      <c r="BP29" s="12"/>
      <c r="BQ29" s="435" t="s">
        <v>5</v>
      </c>
      <c r="BR29" s="14"/>
      <c r="BS29" s="435" t="s">
        <v>6</v>
      </c>
      <c r="BV29" s="13" t="s">
        <v>126</v>
      </c>
      <c r="BW29" s="12"/>
      <c r="BX29" s="435" t="s">
        <v>67</v>
      </c>
      <c r="BY29" s="12"/>
      <c r="BZ29" s="435" t="s">
        <v>5</v>
      </c>
      <c r="CA29" s="14"/>
      <c r="CB29" s="435" t="s">
        <v>6</v>
      </c>
      <c r="CE29" s="13" t="s">
        <v>126</v>
      </c>
      <c r="CF29" s="12"/>
      <c r="CG29" s="435" t="s">
        <v>67</v>
      </c>
      <c r="CH29" s="12"/>
      <c r="CI29" s="435" t="s">
        <v>5</v>
      </c>
      <c r="CJ29" s="14"/>
      <c r="CK29" s="435" t="s">
        <v>6</v>
      </c>
      <c r="CN29" s="13" t="s">
        <v>126</v>
      </c>
      <c r="CO29" s="12"/>
      <c r="CP29" s="435" t="s">
        <v>67</v>
      </c>
      <c r="CQ29" s="12"/>
      <c r="CR29" s="435" t="s">
        <v>5</v>
      </c>
      <c r="CS29" s="14"/>
      <c r="CT29" s="435" t="s">
        <v>6</v>
      </c>
      <c r="CW29" s="13" t="s">
        <v>126</v>
      </c>
      <c r="CX29" s="12"/>
      <c r="CY29" s="435" t="s">
        <v>67</v>
      </c>
      <c r="CZ29" s="12"/>
      <c r="DA29" s="435" t="s">
        <v>5</v>
      </c>
      <c r="DB29" s="14"/>
      <c r="DC29" s="435" t="s">
        <v>6</v>
      </c>
      <c r="DF29" s="13" t="s">
        <v>126</v>
      </c>
      <c r="DG29" s="12"/>
      <c r="DH29" s="435" t="s">
        <v>67</v>
      </c>
      <c r="DI29" s="12"/>
      <c r="DJ29" s="435" t="s">
        <v>5</v>
      </c>
      <c r="DK29" s="14"/>
      <c r="DL29" s="435" t="s">
        <v>6</v>
      </c>
    </row>
    <row r="30" spans="2:116" ht="13.5" thickBot="1">
      <c r="B30" s="437" t="s">
        <v>201</v>
      </c>
      <c r="C30" s="434" t="s">
        <v>67</v>
      </c>
      <c r="D30" s="162" t="s">
        <v>201</v>
      </c>
      <c r="E30" s="19" t="s">
        <v>5</v>
      </c>
      <c r="F30" s="162" t="s">
        <v>67</v>
      </c>
      <c r="G30" s="14" t="s">
        <v>6</v>
      </c>
      <c r="H30" s="436" t="s">
        <v>5</v>
      </c>
      <c r="K30" s="162" t="s">
        <v>201</v>
      </c>
      <c r="L30" s="462" t="s">
        <v>67</v>
      </c>
      <c r="M30" s="162" t="s">
        <v>201</v>
      </c>
      <c r="N30" s="434" t="s">
        <v>5</v>
      </c>
      <c r="O30" s="162" t="s">
        <v>201</v>
      </c>
      <c r="P30" s="463" t="s">
        <v>6</v>
      </c>
      <c r="Q30" s="162" t="s">
        <v>201</v>
      </c>
      <c r="T30" s="162" t="s">
        <v>201</v>
      </c>
      <c r="U30" s="434" t="s">
        <v>67</v>
      </c>
      <c r="V30" s="162" t="s">
        <v>201</v>
      </c>
      <c r="W30" s="19" t="s">
        <v>5</v>
      </c>
      <c r="X30" s="162" t="s">
        <v>201</v>
      </c>
      <c r="Y30" s="14" t="s">
        <v>6</v>
      </c>
      <c r="Z30" s="162" t="s">
        <v>201</v>
      </c>
      <c r="AC30" s="162" t="s">
        <v>201</v>
      </c>
      <c r="AD30" s="434" t="s">
        <v>67</v>
      </c>
      <c r="AE30" s="162" t="s">
        <v>201</v>
      </c>
      <c r="AF30" s="434" t="s">
        <v>5</v>
      </c>
      <c r="AG30" s="162" t="s">
        <v>201</v>
      </c>
      <c r="AH30" s="463" t="s">
        <v>6</v>
      </c>
      <c r="AI30" s="162" t="s">
        <v>201</v>
      </c>
      <c r="AL30" s="162" t="s">
        <v>201</v>
      </c>
      <c r="AM30" s="434" t="s">
        <v>67</v>
      </c>
      <c r="AN30" s="162" t="s">
        <v>201</v>
      </c>
      <c r="AO30" s="434" t="s">
        <v>5</v>
      </c>
      <c r="AP30" s="162" t="s">
        <v>201</v>
      </c>
      <c r="AQ30" s="463" t="s">
        <v>6</v>
      </c>
      <c r="AR30" s="162" t="s">
        <v>201</v>
      </c>
      <c r="AU30" s="162" t="s">
        <v>201</v>
      </c>
      <c r="AV30" s="434" t="s">
        <v>67</v>
      </c>
      <c r="AW30" s="162" t="s">
        <v>201</v>
      </c>
      <c r="AX30" s="434" t="s">
        <v>5</v>
      </c>
      <c r="AY30" s="162" t="s">
        <v>201</v>
      </c>
      <c r="AZ30" s="463" t="s">
        <v>253</v>
      </c>
      <c r="BA30" s="162" t="s">
        <v>201</v>
      </c>
      <c r="BD30" s="162" t="s">
        <v>201</v>
      </c>
      <c r="BE30" s="434" t="s">
        <v>67</v>
      </c>
      <c r="BF30" s="162" t="s">
        <v>201</v>
      </c>
      <c r="BG30" s="434" t="s">
        <v>5</v>
      </c>
      <c r="BH30" s="162" t="s">
        <v>201</v>
      </c>
      <c r="BI30" s="463" t="s">
        <v>6</v>
      </c>
      <c r="BJ30" s="162" t="s">
        <v>201</v>
      </c>
      <c r="BM30" s="162" t="s">
        <v>201</v>
      </c>
      <c r="BN30" s="434" t="s">
        <v>67</v>
      </c>
      <c r="BO30" s="162" t="s">
        <v>201</v>
      </c>
      <c r="BP30" s="434" t="s">
        <v>5</v>
      </c>
      <c r="BQ30" s="162" t="s">
        <v>201</v>
      </c>
      <c r="BR30" s="463" t="s">
        <v>6</v>
      </c>
      <c r="BS30" s="162" t="s">
        <v>201</v>
      </c>
      <c r="BV30" s="162" t="s">
        <v>201</v>
      </c>
      <c r="BW30" s="434" t="s">
        <v>67</v>
      </c>
      <c r="BX30" s="162" t="s">
        <v>201</v>
      </c>
      <c r="BY30" s="434" t="s">
        <v>5</v>
      </c>
      <c r="BZ30" s="162" t="s">
        <v>201</v>
      </c>
      <c r="CA30" s="463" t="s">
        <v>6</v>
      </c>
      <c r="CB30" s="162" t="s">
        <v>201</v>
      </c>
      <c r="CE30" s="162" t="s">
        <v>201</v>
      </c>
      <c r="CF30" s="434" t="s">
        <v>67</v>
      </c>
      <c r="CG30" s="162" t="s">
        <v>201</v>
      </c>
      <c r="CH30" s="434" t="s">
        <v>5</v>
      </c>
      <c r="CI30" s="162" t="s">
        <v>201</v>
      </c>
      <c r="CJ30" s="463" t="s">
        <v>6</v>
      </c>
      <c r="CK30" s="162" t="s">
        <v>201</v>
      </c>
      <c r="CN30" s="162" t="s">
        <v>201</v>
      </c>
      <c r="CO30" s="434" t="s">
        <v>67</v>
      </c>
      <c r="CP30" s="162" t="s">
        <v>201</v>
      </c>
      <c r="CQ30" s="434" t="s">
        <v>5</v>
      </c>
      <c r="CR30" s="162" t="s">
        <v>201</v>
      </c>
      <c r="CS30" s="463" t="s">
        <v>6</v>
      </c>
      <c r="CT30" s="162" t="s">
        <v>201</v>
      </c>
      <c r="CW30" s="162" t="s">
        <v>201</v>
      </c>
      <c r="CX30" s="434" t="s">
        <v>67</v>
      </c>
      <c r="CY30" s="162" t="s">
        <v>201</v>
      </c>
      <c r="CZ30" s="434" t="s">
        <v>5</v>
      </c>
      <c r="DA30" s="162" t="s">
        <v>201</v>
      </c>
      <c r="DB30" s="463" t="s">
        <v>6</v>
      </c>
      <c r="DC30" s="162" t="s">
        <v>201</v>
      </c>
      <c r="DF30" s="162" t="s">
        <v>201</v>
      </c>
      <c r="DG30" s="434" t="s">
        <v>67</v>
      </c>
      <c r="DH30" s="162" t="s">
        <v>201</v>
      </c>
      <c r="DI30" s="434" t="s">
        <v>5</v>
      </c>
      <c r="DJ30" s="162" t="s">
        <v>201</v>
      </c>
      <c r="DK30" s="463" t="s">
        <v>6</v>
      </c>
      <c r="DL30" s="162" t="s">
        <v>201</v>
      </c>
    </row>
    <row r="31" spans="2:116" ht="12.75">
      <c r="B31" s="438">
        <f>SUM('Statistique 02-03'!X4)</f>
        <v>403372</v>
      </c>
      <c r="C31" s="28">
        <v>421080</v>
      </c>
      <c r="D31" s="29">
        <f>(C31-B31)/C31</f>
        <v>0.04205376650517716</v>
      </c>
      <c r="E31" s="28">
        <v>378498</v>
      </c>
      <c r="F31" s="30">
        <f>(E31-B31)/E31</f>
        <v>-0.06571765240503252</v>
      </c>
      <c r="G31" s="24">
        <v>352269</v>
      </c>
      <c r="H31" s="30">
        <f>(G31-B31)/G31</f>
        <v>-0.14506811555941623</v>
      </c>
      <c r="K31" s="27">
        <f aca="true" t="shared" si="65" ref="K31:K36">O15/62*365</f>
        <v>432954.7580645162</v>
      </c>
      <c r="L31" s="28">
        <v>421080</v>
      </c>
      <c r="M31" s="29">
        <f>(L31-K31)/L31</f>
        <v>-0.028200717356597748</v>
      </c>
      <c r="N31" s="28">
        <v>414993</v>
      </c>
      <c r="O31" s="30">
        <f>(N31-K31)/N31</f>
        <v>-0.04328207479286682</v>
      </c>
      <c r="P31" s="24">
        <v>378498</v>
      </c>
      <c r="Q31" s="30">
        <f>(P31-K31)/P31</f>
        <v>-0.143875946674794</v>
      </c>
      <c r="T31" s="27">
        <f aca="true" t="shared" si="66" ref="T31:T36">X15/90*365</f>
        <v>423460.8333333334</v>
      </c>
      <c r="U31" s="156">
        <v>421080</v>
      </c>
      <c r="V31" s="29">
        <f>(U31-T31)/U31</f>
        <v>-0.005654111649409547</v>
      </c>
      <c r="W31" s="28">
        <v>414993</v>
      </c>
      <c r="X31" s="30">
        <f>(W31-T31)/W31</f>
        <v>-0.020404761847388684</v>
      </c>
      <c r="Y31" s="24">
        <v>378498</v>
      </c>
      <c r="Z31" s="30">
        <f>(Y31-T31)/Y31</f>
        <v>-0.11879278974613702</v>
      </c>
      <c r="AC31" s="27">
        <f aca="true" t="shared" si="67" ref="AC31:AC36">AG15/118*365</f>
        <v>395632.16101694916</v>
      </c>
      <c r="AD31" s="28">
        <v>421080</v>
      </c>
      <c r="AE31" s="29">
        <f>(AD31-AC31)/AD31</f>
        <v>0.0604346893299393</v>
      </c>
      <c r="AF31" s="28">
        <v>414993</v>
      </c>
      <c r="AG31" s="30">
        <f>(AF31-AC31)/AF31</f>
        <v>0.04665341098054868</v>
      </c>
      <c r="AH31" s="24">
        <v>378498</v>
      </c>
      <c r="AI31" s="30">
        <f>(AH31-AC31)/AH31</f>
        <v>-0.045268828413754264</v>
      </c>
      <c r="AL31" s="27">
        <f aca="true" t="shared" si="68" ref="AL31:AL36">AP15/146*365</f>
        <v>388230</v>
      </c>
      <c r="AM31" s="28">
        <v>421080</v>
      </c>
      <c r="AN31" s="29">
        <f>(AM31-AL31)/AM31</f>
        <v>0.0780136791108578</v>
      </c>
      <c r="AO31" s="28">
        <v>414993</v>
      </c>
      <c r="AP31" s="30">
        <f>(AO31-AL31)/AO31</f>
        <v>0.0644902444137612</v>
      </c>
      <c r="AQ31" s="24">
        <v>378498</v>
      </c>
      <c r="AR31" s="30">
        <f>(AQ31-AL31)/AQ31</f>
        <v>-0.025712156999508583</v>
      </c>
      <c r="AU31" s="27">
        <f aca="true" t="shared" si="69" ref="AU31:AU36">AY15/174*365</f>
        <v>388305.459770115</v>
      </c>
      <c r="AV31" s="28">
        <v>421080</v>
      </c>
      <c r="AW31" s="29">
        <f>(AV31-AU31)/AV31</f>
        <v>0.07783447380517959</v>
      </c>
      <c r="AX31" s="28">
        <v>414993</v>
      </c>
      <c r="AY31" s="30">
        <f>(AX31-AU31)/AX31</f>
        <v>0.06430841057532302</v>
      </c>
      <c r="AZ31" s="24">
        <v>374498</v>
      </c>
      <c r="BA31" s="30">
        <f>(AZ31-AU31)/AZ31</f>
        <v>-0.036869248354103296</v>
      </c>
      <c r="BD31" s="27">
        <f aca="true" t="shared" si="70" ref="BD31:BD36">BH15/202*365</f>
        <v>392698.4405940594</v>
      </c>
      <c r="BE31" s="28">
        <v>421080</v>
      </c>
      <c r="BF31" s="29">
        <f>(BE31-BD31)/BE31</f>
        <v>0.0674018224706483</v>
      </c>
      <c r="BG31" s="28">
        <v>414993</v>
      </c>
      <c r="BH31" s="30">
        <f>(BG31-BD31)/BG31</f>
        <v>0.05372273606046508</v>
      </c>
      <c r="BI31" s="24">
        <v>378498</v>
      </c>
      <c r="BJ31" s="30">
        <f>(BI31-BD31)/BI31</f>
        <v>-0.037517874847580214</v>
      </c>
      <c r="BM31" s="27">
        <f aca="true" t="shared" si="71" ref="BM31:BM36">BQ15/230*365</f>
        <v>398113.4347826087</v>
      </c>
      <c r="BN31" s="28">
        <v>421080</v>
      </c>
      <c r="BO31" s="29">
        <f>(BN31-BM31)/BN31</f>
        <v>0.05454204715823904</v>
      </c>
      <c r="BP31" s="28">
        <v>414993</v>
      </c>
      <c r="BQ31" s="30">
        <f>(BP31-BM31)/BP31</f>
        <v>0.04067433719940167</v>
      </c>
      <c r="BR31" s="24">
        <v>378498</v>
      </c>
      <c r="BS31" s="30">
        <f>(BR31-BM31)/BR31</f>
        <v>-0.05182440800904814</v>
      </c>
      <c r="BV31" s="27">
        <f aca="true" t="shared" si="72" ref="BV31:BV36">BZ15/258*365</f>
        <v>400880.3488372093</v>
      </c>
      <c r="BW31" s="28">
        <v>421080</v>
      </c>
      <c r="BX31" s="29">
        <f>(BW31-BV31)/BW31</f>
        <v>0.047971053393157395</v>
      </c>
      <c r="BY31" s="28">
        <v>414993</v>
      </c>
      <c r="BZ31" s="30">
        <f>(BY31-BV31)/BY31</f>
        <v>0.034006961955480496</v>
      </c>
      <c r="CA31" s="24">
        <v>378498</v>
      </c>
      <c r="CB31" s="30">
        <f>(CA31-BV31)/CA31</f>
        <v>-0.059134655499393084</v>
      </c>
      <c r="CE31" s="27">
        <f aca="true" t="shared" si="73" ref="CE31:CE36">CI15/286*365</f>
        <v>398259.6678321678</v>
      </c>
      <c r="CF31" s="28">
        <v>421080</v>
      </c>
      <c r="CG31" s="29">
        <f>(CF31-CE31)/CF31</f>
        <v>0.054194766238795905</v>
      </c>
      <c r="CH31" s="28">
        <v>414993</v>
      </c>
      <c r="CI31" s="30">
        <f>(CH31-CE31)/CH31</f>
        <v>0.04032196246161304</v>
      </c>
      <c r="CJ31" s="24">
        <v>378498</v>
      </c>
      <c r="CK31" s="30">
        <f>(CJ31-CE31)/CJ31</f>
        <v>-0.05221075892651433</v>
      </c>
      <c r="CN31" s="27">
        <f aca="true" t="shared" si="74" ref="CN31:CN36">CR15/314*365</f>
        <v>401638.3280254777</v>
      </c>
      <c r="CO31" s="28">
        <v>421080</v>
      </c>
      <c r="CP31" s="29">
        <f>(CO31-CN31)/CO31</f>
        <v>0.04617096982645173</v>
      </c>
      <c r="CQ31" s="28">
        <v>414993</v>
      </c>
      <c r="CR31" s="30">
        <f>(CQ31-CN31)/CQ31</f>
        <v>0.03218047527192578</v>
      </c>
      <c r="CS31" s="24">
        <v>378498</v>
      </c>
      <c r="CT31" s="30">
        <f>(CS31-CN31)/CS31</f>
        <v>-0.061137253104316815</v>
      </c>
      <c r="CV31" s="20" t="s">
        <v>11</v>
      </c>
      <c r="CW31" s="27">
        <f aca="true" t="shared" si="75" ref="CW31:CW36">DA15/342*365</f>
        <v>400162.7339181287</v>
      </c>
      <c r="CX31" s="28">
        <v>421080</v>
      </c>
      <c r="CY31" s="29">
        <f>(CX31-CW31)/CX31</f>
        <v>0.04967527805137097</v>
      </c>
      <c r="CZ31" s="28">
        <v>414993</v>
      </c>
      <c r="DA31" s="30">
        <f>(CZ31-CW31)/CZ31</f>
        <v>0.03573618369917394</v>
      </c>
      <c r="DB31" s="24">
        <v>378498</v>
      </c>
      <c r="DC31" s="30">
        <f>(DB31-CW31)/DB31</f>
        <v>-0.057238701177096604</v>
      </c>
      <c r="DF31" s="27">
        <f aca="true" t="shared" si="76" ref="DF31:DF36">DJ15</f>
        <v>374947</v>
      </c>
      <c r="DG31" s="28">
        <v>421080</v>
      </c>
      <c r="DH31" s="29">
        <f>(DG31-DF31)/DG31</f>
        <v>0.10955875368101073</v>
      </c>
      <c r="DI31" s="28">
        <v>414993</v>
      </c>
      <c r="DJ31" s="30">
        <f>(DI31-DF31)/DI31</f>
        <v>0.09649801321950009</v>
      </c>
      <c r="DK31" s="24">
        <v>378498</v>
      </c>
      <c r="DL31" s="30">
        <f>(DK31-DF31)/DK31</f>
        <v>0.009381819718994553</v>
      </c>
    </row>
    <row r="32" spans="2:116" ht="12.75">
      <c r="B32" s="438">
        <f>SUM('Statistique 02-03'!X6)</f>
        <v>2453</v>
      </c>
      <c r="C32" s="28">
        <v>1078</v>
      </c>
      <c r="D32" s="29">
        <f aca="true" t="shared" si="77" ref="D32:D37">(C32-B32)/C32</f>
        <v>-1.2755102040816326</v>
      </c>
      <c r="E32" s="28">
        <v>608</v>
      </c>
      <c r="F32" s="35">
        <f aca="true" t="shared" si="78" ref="F32:F37">(E32-B32)/E32</f>
        <v>-3.0345394736842106</v>
      </c>
      <c r="G32" s="33">
        <v>689</v>
      </c>
      <c r="H32" s="35">
        <f aca="true" t="shared" si="79" ref="H32:H37">(G32-B32)/G32</f>
        <v>-2.560232220609579</v>
      </c>
      <c r="K32" s="27">
        <f t="shared" si="65"/>
        <v>2025.1612903225807</v>
      </c>
      <c r="L32" s="28">
        <v>1078</v>
      </c>
      <c r="M32" s="29">
        <f aca="true" t="shared" si="80" ref="M32:M37">(L32-K32)/L32</f>
        <v>-0.8786282841582381</v>
      </c>
      <c r="N32" s="28">
        <v>284</v>
      </c>
      <c r="O32" s="35">
        <f aca="true" t="shared" si="81" ref="O32:O37">(N32-K32)/N32</f>
        <v>-6.130849613811904</v>
      </c>
      <c r="P32" s="33">
        <v>608</v>
      </c>
      <c r="Q32" s="35">
        <f aca="true" t="shared" si="82" ref="Q32:Q37">(P32-K32)/P32</f>
        <v>-2.3308573853989816</v>
      </c>
      <c r="T32" s="27">
        <f t="shared" si="66"/>
        <v>2429.277777777778</v>
      </c>
      <c r="U32" s="157">
        <v>1078</v>
      </c>
      <c r="V32" s="29">
        <f aca="true" t="shared" si="83" ref="V32:V37">(U32-T32)/U32</f>
        <v>-1.2535044320758606</v>
      </c>
      <c r="W32" s="28">
        <v>284</v>
      </c>
      <c r="X32" s="35">
        <f aca="true" t="shared" si="84" ref="X32:X37">(W32-T32)/W32</f>
        <v>-7.553794992175274</v>
      </c>
      <c r="Y32" s="33">
        <v>608</v>
      </c>
      <c r="Z32" s="35">
        <f aca="true" t="shared" si="85" ref="Z32:Z37">(Y32-T32)/Y32</f>
        <v>-2.9955226608187133</v>
      </c>
      <c r="AC32" s="27">
        <f t="shared" si="67"/>
        <v>2663.262711864407</v>
      </c>
      <c r="AD32" s="28">
        <v>1078</v>
      </c>
      <c r="AE32" s="29">
        <f aca="true" t="shared" si="86" ref="AE32:AE37">(AD32-AC32)/AD32</f>
        <v>-1.4705591019150341</v>
      </c>
      <c r="AF32" s="28">
        <v>284</v>
      </c>
      <c r="AG32" s="35">
        <f aca="true" t="shared" si="87" ref="AG32:AG37">(AF32-AC32)/AF32</f>
        <v>-8.377685605156362</v>
      </c>
      <c r="AH32" s="33">
        <v>608</v>
      </c>
      <c r="AI32" s="35">
        <f aca="true" t="shared" si="88" ref="AI32:AI37">(AH32-AC32)/AH32</f>
        <v>-3.380366302408564</v>
      </c>
      <c r="AL32" s="27">
        <f t="shared" si="68"/>
        <v>2620</v>
      </c>
      <c r="AM32" s="28">
        <v>1078</v>
      </c>
      <c r="AN32" s="29">
        <f aca="true" t="shared" si="89" ref="AN32:AN37">(AM32-AL32)/AM32</f>
        <v>-1.4304267161410018</v>
      </c>
      <c r="AO32" s="28">
        <v>284</v>
      </c>
      <c r="AP32" s="35">
        <f aca="true" t="shared" si="90" ref="AP32:AP37">(AO32-AL32)/AO32</f>
        <v>-8.225352112676056</v>
      </c>
      <c r="AQ32" s="33">
        <v>608</v>
      </c>
      <c r="AR32" s="35">
        <f aca="true" t="shared" si="91" ref="AR32:AR37">(AQ32-AL32)/AQ32</f>
        <v>-3.3092105263157894</v>
      </c>
      <c r="AU32" s="27">
        <f t="shared" si="69"/>
        <v>2594.8563218390805</v>
      </c>
      <c r="AV32" s="28">
        <v>1078</v>
      </c>
      <c r="AW32" s="29">
        <f aca="true" t="shared" si="92" ref="AW32:AW37">(AV32-AU32)/AV32</f>
        <v>-1.4071023393683493</v>
      </c>
      <c r="AX32" s="28">
        <v>284</v>
      </c>
      <c r="AY32" s="35">
        <f aca="true" t="shared" si="93" ref="AY32:AY37">(AX32-AU32)/AX32</f>
        <v>-8.13681803464465</v>
      </c>
      <c r="AZ32" s="33">
        <v>608</v>
      </c>
      <c r="BA32" s="35">
        <f aca="true" t="shared" si="94" ref="BA32:BA37">(AZ32-AU32)/AZ32</f>
        <v>-3.2678557924984877</v>
      </c>
      <c r="BD32" s="27">
        <f t="shared" si="70"/>
        <v>2497.1782178217823</v>
      </c>
      <c r="BE32" s="28">
        <v>1078</v>
      </c>
      <c r="BF32" s="29">
        <f aca="true" t="shared" si="95" ref="BF32:BF37">(BE32-BD32)/BE32</f>
        <v>-1.3164918532669594</v>
      </c>
      <c r="BG32" s="28">
        <v>284</v>
      </c>
      <c r="BH32" s="35">
        <f aca="true" t="shared" si="96" ref="BH32:BH37">(BG32-BD32)/BG32</f>
        <v>-7.792881048668248</v>
      </c>
      <c r="BI32" s="33">
        <v>608</v>
      </c>
      <c r="BJ32" s="35">
        <f aca="true" t="shared" si="97" ref="BJ32:BJ37">(BI32-BD32)/BI32</f>
        <v>-3.107201016154247</v>
      </c>
      <c r="BM32" s="27">
        <f t="shared" si="71"/>
        <v>2466.1304347826085</v>
      </c>
      <c r="BN32" s="28">
        <v>1078</v>
      </c>
      <c r="BO32" s="29">
        <f aca="true" t="shared" si="98" ref="BO32:BO37">(BN32-BM32)/BN32</f>
        <v>-1.2876905702992658</v>
      </c>
      <c r="BP32" s="28">
        <v>284</v>
      </c>
      <c r="BQ32" s="35">
        <f aca="true" t="shared" si="99" ref="BQ32:BQ37">(BP32-BM32)/BP32</f>
        <v>-7.683557868952847</v>
      </c>
      <c r="BR32" s="33">
        <v>608</v>
      </c>
      <c r="BS32" s="35">
        <f aca="true" t="shared" si="100" ref="BS32:BS37">(BR32-BM32)/BR32</f>
        <v>-3.056135583524027</v>
      </c>
      <c r="BV32" s="27">
        <f t="shared" si="72"/>
        <v>2451.7248062015506</v>
      </c>
      <c r="BW32" s="28">
        <v>1078</v>
      </c>
      <c r="BX32" s="29">
        <f aca="true" t="shared" si="101" ref="BX32:BX37">(BW32-BV32)/BW32</f>
        <v>-1.2743272784801025</v>
      </c>
      <c r="BY32" s="28">
        <v>284</v>
      </c>
      <c r="BZ32" s="35">
        <f aca="true" t="shared" si="102" ref="BZ32:BZ37">(BY32-BV32)/BY32</f>
        <v>-7.632833824653347</v>
      </c>
      <c r="CA32" s="33">
        <v>608</v>
      </c>
      <c r="CB32" s="35">
        <f aca="true" t="shared" si="103" ref="CB32:CB37">(CA32-BV32)/CA32</f>
        <v>-3.0324421154630765</v>
      </c>
      <c r="CE32" s="27">
        <f t="shared" si="73"/>
        <v>2406.958041958042</v>
      </c>
      <c r="CF32" s="28">
        <v>1078</v>
      </c>
      <c r="CG32" s="29">
        <f aca="true" t="shared" si="104" ref="CG32:CG37">(CF32-CE32)/CF32</f>
        <v>-1.232799667864603</v>
      </c>
      <c r="CH32" s="28">
        <v>284</v>
      </c>
      <c r="CI32" s="35">
        <f aca="true" t="shared" si="105" ref="CI32:CI37">(CH32-CE32)/CH32</f>
        <v>-7.475204373091698</v>
      </c>
      <c r="CJ32" s="33">
        <v>608</v>
      </c>
      <c r="CK32" s="35">
        <f aca="true" t="shared" si="106" ref="CK32:CK37">(CJ32-CE32)/CJ32</f>
        <v>-2.9588125690099374</v>
      </c>
      <c r="CN32" s="27">
        <f t="shared" si="74"/>
        <v>2408.5350318471337</v>
      </c>
      <c r="CO32" s="28">
        <v>1078</v>
      </c>
      <c r="CP32" s="29">
        <f aca="true" t="shared" si="107" ref="CP32:CP37">(CO32-CN32)/CO32</f>
        <v>-1.2342625527338902</v>
      </c>
      <c r="CQ32" s="28">
        <v>284</v>
      </c>
      <c r="CR32" s="35">
        <f aca="true" t="shared" si="108" ref="CR32:CR37">(CQ32-CN32)/CQ32</f>
        <v>-7.480757154391316</v>
      </c>
      <c r="CS32" s="33">
        <v>608</v>
      </c>
      <c r="CT32" s="35">
        <f aca="true" t="shared" si="109" ref="CT32:CT37">(CS32-CN32)/CS32</f>
        <v>-2.961406302380154</v>
      </c>
      <c r="CV32" s="31" t="s">
        <v>12</v>
      </c>
      <c r="CW32" s="27">
        <f t="shared" si="75"/>
        <v>2333.0116959064326</v>
      </c>
      <c r="CX32" s="28">
        <v>1078</v>
      </c>
      <c r="CY32" s="29">
        <f aca="true" t="shared" si="110" ref="CY32:CY37">(CX32-CW32)/CX32</f>
        <v>-1.1642037995421453</v>
      </c>
      <c r="CZ32" s="28">
        <v>284</v>
      </c>
      <c r="DA32" s="35">
        <f aca="true" t="shared" si="111" ref="DA32:DA37">(CZ32-CW32)/CZ32</f>
        <v>-7.214829915163495</v>
      </c>
      <c r="DB32" s="33">
        <v>608</v>
      </c>
      <c r="DC32" s="35">
        <f aca="true" t="shared" si="112" ref="DC32:DC37">(DB32-CW32)/DB32</f>
        <v>-2.8371902893197904</v>
      </c>
      <c r="DF32" s="27">
        <f t="shared" si="76"/>
        <v>2186</v>
      </c>
      <c r="DG32" s="28">
        <v>1078</v>
      </c>
      <c r="DH32" s="29">
        <f aca="true" t="shared" si="113" ref="DH32:DH37">(DG32-DF32)/DG32</f>
        <v>-1.0278293135435992</v>
      </c>
      <c r="DI32" s="28">
        <v>284</v>
      </c>
      <c r="DJ32" s="35">
        <f aca="true" t="shared" si="114" ref="DJ32:DJ37">(DI32-DF32)/DI32</f>
        <v>-6.697183098591549</v>
      </c>
      <c r="DK32" s="33">
        <v>608</v>
      </c>
      <c r="DL32" s="35">
        <f aca="true" t="shared" si="115" ref="DL32:DL37">(DK32-DF32)/DK32</f>
        <v>-2.5953947368421053</v>
      </c>
    </row>
    <row r="33" spans="2:116" ht="12.75">
      <c r="B33" s="438">
        <f>SUM('Statistique 02-03'!X7)</f>
        <v>134475</v>
      </c>
      <c r="C33" s="28">
        <v>132251</v>
      </c>
      <c r="D33" s="29">
        <f t="shared" si="77"/>
        <v>-0.0168165080037202</v>
      </c>
      <c r="E33" s="28">
        <v>110333</v>
      </c>
      <c r="F33" s="35">
        <f t="shared" si="78"/>
        <v>-0.21881032873211098</v>
      </c>
      <c r="G33" s="33">
        <v>105418</v>
      </c>
      <c r="H33" s="35">
        <f t="shared" si="79"/>
        <v>-0.2756360393860631</v>
      </c>
      <c r="K33" s="27">
        <f t="shared" si="65"/>
        <v>136268.62903225806</v>
      </c>
      <c r="L33" s="28">
        <v>132251</v>
      </c>
      <c r="M33" s="29">
        <f t="shared" si="80"/>
        <v>-0.03037881779538953</v>
      </c>
      <c r="N33" s="28">
        <v>133943</v>
      </c>
      <c r="O33" s="35">
        <f t="shared" si="81"/>
        <v>-0.017362826219048853</v>
      </c>
      <c r="P33" s="33">
        <v>110333</v>
      </c>
      <c r="Q33" s="35">
        <f t="shared" si="82"/>
        <v>-0.23506683433114353</v>
      </c>
      <c r="T33" s="27">
        <f t="shared" si="66"/>
        <v>136599.22222222222</v>
      </c>
      <c r="U33" s="157">
        <v>132251</v>
      </c>
      <c r="V33" s="29">
        <f t="shared" si="83"/>
        <v>-0.03287855836418794</v>
      </c>
      <c r="W33" s="28">
        <v>133943</v>
      </c>
      <c r="X33" s="35">
        <f t="shared" si="84"/>
        <v>-0.019830989467327288</v>
      </c>
      <c r="Y33" s="33">
        <v>110333</v>
      </c>
      <c r="Z33" s="35">
        <f t="shared" si="85"/>
        <v>-0.23806315628345298</v>
      </c>
      <c r="AC33" s="27">
        <f t="shared" si="67"/>
        <v>134001.39830508476</v>
      </c>
      <c r="AD33" s="28">
        <v>132251</v>
      </c>
      <c r="AE33" s="29">
        <f t="shared" si="86"/>
        <v>-0.013235425857534235</v>
      </c>
      <c r="AF33" s="28">
        <v>133943</v>
      </c>
      <c r="AG33" s="35">
        <f t="shared" si="87"/>
        <v>-0.00043599370691085063</v>
      </c>
      <c r="AH33" s="33">
        <v>110333</v>
      </c>
      <c r="AI33" s="35">
        <f t="shared" si="88"/>
        <v>-0.21451785327222825</v>
      </c>
      <c r="AL33" s="27">
        <f t="shared" si="68"/>
        <v>133545</v>
      </c>
      <c r="AM33" s="28">
        <v>132251</v>
      </c>
      <c r="AN33" s="29">
        <f t="shared" si="89"/>
        <v>-0.009784425070509865</v>
      </c>
      <c r="AO33" s="28">
        <v>133943</v>
      </c>
      <c r="AP33" s="35">
        <f t="shared" si="90"/>
        <v>0.002971413213083177</v>
      </c>
      <c r="AQ33" s="33">
        <v>110333</v>
      </c>
      <c r="AR33" s="35">
        <f t="shared" si="91"/>
        <v>-0.21038130024562007</v>
      </c>
      <c r="AU33" s="27">
        <f t="shared" si="69"/>
        <v>131368.5344827586</v>
      </c>
      <c r="AV33" s="28">
        <v>132251</v>
      </c>
      <c r="AW33" s="29">
        <f t="shared" si="92"/>
        <v>0.006672656669827762</v>
      </c>
      <c r="AX33" s="28">
        <v>133943</v>
      </c>
      <c r="AY33" s="35">
        <f t="shared" si="93"/>
        <v>0.019220605162206247</v>
      </c>
      <c r="AZ33" s="33">
        <v>110333</v>
      </c>
      <c r="BA33" s="35">
        <f t="shared" si="94"/>
        <v>-0.1906549670792837</v>
      </c>
      <c r="BD33" s="27">
        <f t="shared" si="70"/>
        <v>130772.99504950496</v>
      </c>
      <c r="BE33" s="28">
        <v>132251</v>
      </c>
      <c r="BF33" s="29">
        <f t="shared" si="95"/>
        <v>0.01117575633072751</v>
      </c>
      <c r="BG33" s="28">
        <v>133943</v>
      </c>
      <c r="BH33" s="35">
        <f t="shared" si="96"/>
        <v>0.02366682059155793</v>
      </c>
      <c r="BI33" s="33">
        <v>110333</v>
      </c>
      <c r="BJ33" s="35">
        <f t="shared" si="97"/>
        <v>-0.185257312404312</v>
      </c>
      <c r="BM33" s="27">
        <f t="shared" si="71"/>
        <v>132118.8913043478</v>
      </c>
      <c r="BN33" s="28">
        <v>132251</v>
      </c>
      <c r="BO33" s="29">
        <f t="shared" si="98"/>
        <v>0.0009989239828219851</v>
      </c>
      <c r="BP33" s="28">
        <v>133943</v>
      </c>
      <c r="BQ33" s="35">
        <f t="shared" si="99"/>
        <v>0.013618544423017182</v>
      </c>
      <c r="BR33" s="33">
        <v>110333</v>
      </c>
      <c r="BS33" s="35">
        <f t="shared" si="100"/>
        <v>-0.19745580473972257</v>
      </c>
      <c r="BV33" s="27">
        <f t="shared" si="72"/>
        <v>132137.07364341084</v>
      </c>
      <c r="BW33" s="28">
        <v>132251</v>
      </c>
      <c r="BX33" s="29">
        <f t="shared" si="101"/>
        <v>0.0008614404170037255</v>
      </c>
      <c r="BY33" s="28">
        <v>133943</v>
      </c>
      <c r="BZ33" s="35">
        <f t="shared" si="102"/>
        <v>0.01348279758247284</v>
      </c>
      <c r="CA33" s="33">
        <v>110333</v>
      </c>
      <c r="CB33" s="35">
        <f t="shared" si="103"/>
        <v>-0.19762059985145733</v>
      </c>
      <c r="CE33" s="27">
        <f t="shared" si="73"/>
        <v>133392.1853146853</v>
      </c>
      <c r="CF33" s="28">
        <v>132251</v>
      </c>
      <c r="CG33" s="29">
        <f t="shared" si="104"/>
        <v>-0.008628935241966488</v>
      </c>
      <c r="CH33" s="28">
        <v>133943</v>
      </c>
      <c r="CI33" s="35">
        <f t="shared" si="105"/>
        <v>0.0041123066178500554</v>
      </c>
      <c r="CJ33" s="33">
        <v>110333</v>
      </c>
      <c r="CK33" s="35">
        <f t="shared" si="106"/>
        <v>-0.20899626870188712</v>
      </c>
      <c r="CN33" s="27">
        <f t="shared" si="74"/>
        <v>134159.58598726115</v>
      </c>
      <c r="CO33" s="28">
        <v>132251</v>
      </c>
      <c r="CP33" s="29">
        <f t="shared" si="107"/>
        <v>-0.014431542954390872</v>
      </c>
      <c r="CQ33" s="28">
        <v>133943</v>
      </c>
      <c r="CR33" s="35">
        <f t="shared" si="108"/>
        <v>-0.0016170011666242151</v>
      </c>
      <c r="CS33" s="33">
        <v>110333</v>
      </c>
      <c r="CT33" s="35">
        <f t="shared" si="109"/>
        <v>-0.21595158281983765</v>
      </c>
      <c r="CV33" s="31" t="s">
        <v>13</v>
      </c>
      <c r="CW33" s="27">
        <f t="shared" si="75"/>
        <v>133037.16374269006</v>
      </c>
      <c r="CX33" s="28">
        <v>132251</v>
      </c>
      <c r="CY33" s="29">
        <f t="shared" si="110"/>
        <v>-0.0059444824061069945</v>
      </c>
      <c r="CZ33" s="28">
        <v>133943</v>
      </c>
      <c r="DA33" s="35">
        <f t="shared" si="111"/>
        <v>0.006762848803669799</v>
      </c>
      <c r="DB33" s="33">
        <v>110333</v>
      </c>
      <c r="DC33" s="35">
        <f t="shared" si="112"/>
        <v>-0.20577854080547123</v>
      </c>
      <c r="DF33" s="27">
        <f t="shared" si="76"/>
        <v>124654</v>
      </c>
      <c r="DG33" s="28">
        <v>132251</v>
      </c>
      <c r="DH33" s="29">
        <f t="shared" si="113"/>
        <v>0.05744380004688055</v>
      </c>
      <c r="DI33" s="28">
        <v>133943</v>
      </c>
      <c r="DJ33" s="35">
        <f t="shared" si="114"/>
        <v>0.06935039531741113</v>
      </c>
      <c r="DK33" s="33">
        <v>110333</v>
      </c>
      <c r="DL33" s="35">
        <f t="shared" si="115"/>
        <v>-0.12979797522046893</v>
      </c>
    </row>
    <row r="34" spans="2:116" ht="12.75">
      <c r="B34" s="438">
        <f>SUM('Statistique 02-03'!X15)</f>
        <v>161056</v>
      </c>
      <c r="C34" s="28">
        <v>21960</v>
      </c>
      <c r="D34" s="29">
        <f t="shared" si="77"/>
        <v>-6.334061930783243</v>
      </c>
      <c r="E34" s="28">
        <v>17314</v>
      </c>
      <c r="F34" s="35">
        <f t="shared" si="78"/>
        <v>-8.302067690885988</v>
      </c>
      <c r="G34" s="33">
        <v>15418</v>
      </c>
      <c r="H34" s="35">
        <f t="shared" si="79"/>
        <v>-9.445972240238682</v>
      </c>
      <c r="K34" s="27">
        <f t="shared" si="65"/>
        <v>22647.66129032258</v>
      </c>
      <c r="L34" s="28">
        <v>21960</v>
      </c>
      <c r="M34" s="29">
        <f t="shared" si="80"/>
        <v>-0.03131426640813204</v>
      </c>
      <c r="N34" s="28">
        <v>20691</v>
      </c>
      <c r="O34" s="35">
        <f t="shared" si="81"/>
        <v>-0.09456581558757815</v>
      </c>
      <c r="P34" s="33">
        <v>17314</v>
      </c>
      <c r="Q34" s="35">
        <f t="shared" si="82"/>
        <v>-0.30805482790357974</v>
      </c>
      <c r="T34" s="27">
        <f t="shared" si="66"/>
        <v>22800.333333333336</v>
      </c>
      <c r="U34" s="157">
        <v>21960</v>
      </c>
      <c r="V34" s="29">
        <f t="shared" si="83"/>
        <v>-0.038266545233758456</v>
      </c>
      <c r="W34" s="28">
        <v>20691</v>
      </c>
      <c r="X34" s="35">
        <f t="shared" si="84"/>
        <v>-0.10194448471960445</v>
      </c>
      <c r="Y34" s="33">
        <v>17314</v>
      </c>
      <c r="Z34" s="35">
        <f t="shared" si="85"/>
        <v>-0.31687266566555017</v>
      </c>
      <c r="AC34" s="27">
        <f t="shared" si="67"/>
        <v>22283.5593220339</v>
      </c>
      <c r="AD34" s="28">
        <v>21960</v>
      </c>
      <c r="AE34" s="29">
        <f t="shared" si="86"/>
        <v>-0.014734031058010003</v>
      </c>
      <c r="AF34" s="28">
        <v>20691</v>
      </c>
      <c r="AG34" s="35">
        <f t="shared" si="87"/>
        <v>-0.07696869759962784</v>
      </c>
      <c r="AH34" s="33">
        <v>17314</v>
      </c>
      <c r="AI34" s="35">
        <f t="shared" si="88"/>
        <v>-0.28702548931696314</v>
      </c>
      <c r="AL34" s="27">
        <f t="shared" si="68"/>
        <v>22505</v>
      </c>
      <c r="AM34" s="28">
        <v>21960</v>
      </c>
      <c r="AN34" s="29">
        <f t="shared" si="89"/>
        <v>-0.02481785063752277</v>
      </c>
      <c r="AO34" s="28">
        <v>20691</v>
      </c>
      <c r="AP34" s="35">
        <f t="shared" si="90"/>
        <v>-0.08767096805374318</v>
      </c>
      <c r="AQ34" s="33">
        <v>17314</v>
      </c>
      <c r="AR34" s="35">
        <f t="shared" si="91"/>
        <v>-0.29981517846829153</v>
      </c>
      <c r="AU34" s="27">
        <f t="shared" si="69"/>
        <v>22332.12643678161</v>
      </c>
      <c r="AV34" s="28">
        <v>21960</v>
      </c>
      <c r="AW34" s="29">
        <f t="shared" si="92"/>
        <v>-0.016945648305173547</v>
      </c>
      <c r="AX34" s="28">
        <v>20691</v>
      </c>
      <c r="AY34" s="35">
        <f t="shared" si="93"/>
        <v>-0.0793159555739989</v>
      </c>
      <c r="AZ34" s="33">
        <v>17314</v>
      </c>
      <c r="BA34" s="35">
        <f t="shared" si="94"/>
        <v>-0.28983056698519183</v>
      </c>
      <c r="BD34" s="27">
        <f t="shared" si="70"/>
        <v>22835.9900990099</v>
      </c>
      <c r="BE34" s="28">
        <v>21960</v>
      </c>
      <c r="BF34" s="29">
        <f t="shared" si="95"/>
        <v>-0.03989025951775507</v>
      </c>
      <c r="BG34" s="28">
        <v>20691</v>
      </c>
      <c r="BH34" s="35">
        <f t="shared" si="96"/>
        <v>-0.10366778304624723</v>
      </c>
      <c r="BI34" s="33">
        <v>17314</v>
      </c>
      <c r="BJ34" s="35">
        <f t="shared" si="97"/>
        <v>-0.31893208380558513</v>
      </c>
      <c r="BM34" s="27">
        <f t="shared" si="71"/>
        <v>24286.782608695652</v>
      </c>
      <c r="BN34" s="28">
        <v>21960</v>
      </c>
      <c r="BO34" s="29">
        <f t="shared" si="98"/>
        <v>-0.10595549219925555</v>
      </c>
      <c r="BP34" s="28">
        <v>20691</v>
      </c>
      <c r="BQ34" s="35">
        <f t="shared" si="99"/>
        <v>-0.17378486340416857</v>
      </c>
      <c r="BR34" s="33">
        <v>17314</v>
      </c>
      <c r="BS34" s="35">
        <f t="shared" si="100"/>
        <v>-0.4027251131278533</v>
      </c>
      <c r="BV34" s="27">
        <f t="shared" si="72"/>
        <v>24119.70930232558</v>
      </c>
      <c r="BW34" s="28">
        <v>21960</v>
      </c>
      <c r="BX34" s="29">
        <f t="shared" si="101"/>
        <v>-0.09834741813868762</v>
      </c>
      <c r="BY34" s="28">
        <v>20691</v>
      </c>
      <c r="BZ34" s="35">
        <f t="shared" si="102"/>
        <v>-0.16571017845080374</v>
      </c>
      <c r="CA34" s="33">
        <v>17314</v>
      </c>
      <c r="CB34" s="35">
        <f t="shared" si="103"/>
        <v>-0.39307550550569365</v>
      </c>
      <c r="CE34" s="27">
        <f t="shared" si="73"/>
        <v>24198.479020979023</v>
      </c>
      <c r="CF34" s="28">
        <v>21960</v>
      </c>
      <c r="CG34" s="29">
        <f t="shared" si="104"/>
        <v>-0.10193438164749648</v>
      </c>
      <c r="CH34" s="28">
        <v>20691</v>
      </c>
      <c r="CI34" s="35">
        <f t="shared" si="105"/>
        <v>-0.1695171340669384</v>
      </c>
      <c r="CJ34" s="33">
        <v>17314</v>
      </c>
      <c r="CK34" s="35">
        <f t="shared" si="106"/>
        <v>-0.3976249867724975</v>
      </c>
      <c r="CN34" s="27">
        <f t="shared" si="74"/>
        <v>23965.62101910828</v>
      </c>
      <c r="CO34" s="28">
        <v>21960</v>
      </c>
      <c r="CP34" s="29">
        <f t="shared" si="107"/>
        <v>-0.091330647500377</v>
      </c>
      <c r="CQ34" s="28">
        <v>20691</v>
      </c>
      <c r="CR34" s="35">
        <f t="shared" si="108"/>
        <v>-0.1582630621578599</v>
      </c>
      <c r="CS34" s="33">
        <v>17314</v>
      </c>
      <c r="CT34" s="35">
        <f t="shared" si="109"/>
        <v>-0.38417587034239803</v>
      </c>
      <c r="CV34" s="31" t="s">
        <v>14</v>
      </c>
      <c r="CW34" s="27">
        <f t="shared" si="75"/>
        <v>24163.640350877195</v>
      </c>
      <c r="CX34" s="28">
        <v>21960</v>
      </c>
      <c r="CY34" s="29">
        <f t="shared" si="110"/>
        <v>-0.10034792126034583</v>
      </c>
      <c r="CZ34" s="28">
        <v>20691</v>
      </c>
      <c r="DA34" s="35">
        <f t="shared" si="111"/>
        <v>-0.1678333744563914</v>
      </c>
      <c r="DB34" s="33">
        <v>17314</v>
      </c>
      <c r="DC34" s="35">
        <f t="shared" si="112"/>
        <v>-0.39561281915658975</v>
      </c>
      <c r="DF34" s="27">
        <f t="shared" si="76"/>
        <v>22641</v>
      </c>
      <c r="DG34" s="28">
        <v>21960</v>
      </c>
      <c r="DH34" s="29">
        <f t="shared" si="113"/>
        <v>-0.031010928961748632</v>
      </c>
      <c r="DI34" s="28">
        <v>20691</v>
      </c>
      <c r="DJ34" s="35">
        <f t="shared" si="114"/>
        <v>-0.09424387414818036</v>
      </c>
      <c r="DK34" s="33">
        <v>17314</v>
      </c>
      <c r="DL34" s="35">
        <f t="shared" si="115"/>
        <v>-0.3076700935659004</v>
      </c>
    </row>
    <row r="35" spans="2:116" ht="12.75">
      <c r="B35" s="438">
        <f>SUM('Statistique 02-03'!X22)</f>
        <v>20032</v>
      </c>
      <c r="C35" s="28">
        <v>77590</v>
      </c>
      <c r="D35" s="29">
        <f t="shared" si="77"/>
        <v>0.7418223997937878</v>
      </c>
      <c r="E35" s="28">
        <v>24662</v>
      </c>
      <c r="F35" s="35">
        <f t="shared" si="78"/>
        <v>0.18773822074446517</v>
      </c>
      <c r="G35" s="33">
        <v>20295</v>
      </c>
      <c r="H35" s="35">
        <f t="shared" si="79"/>
        <v>0.012958856861295887</v>
      </c>
      <c r="K35" s="27">
        <f t="shared" si="65"/>
        <v>65794.19354838709</v>
      </c>
      <c r="L35" s="28">
        <v>77590</v>
      </c>
      <c r="M35" s="29">
        <f t="shared" si="80"/>
        <v>0.15202740625870484</v>
      </c>
      <c r="N35" s="28">
        <v>24623</v>
      </c>
      <c r="O35" s="35">
        <f t="shared" si="81"/>
        <v>-1.6720624435847415</v>
      </c>
      <c r="P35" s="33">
        <v>24662</v>
      </c>
      <c r="Q35" s="35">
        <f t="shared" si="82"/>
        <v>-1.6678368967799486</v>
      </c>
      <c r="T35" s="27">
        <f t="shared" si="66"/>
        <v>64909.16666666667</v>
      </c>
      <c r="U35" s="157">
        <v>77590</v>
      </c>
      <c r="V35" s="29">
        <f t="shared" si="83"/>
        <v>0.1634338617519439</v>
      </c>
      <c r="W35" s="28">
        <v>24623</v>
      </c>
      <c r="X35" s="35">
        <f t="shared" si="84"/>
        <v>-1.6361193464105377</v>
      </c>
      <c r="Y35" s="33">
        <v>24662</v>
      </c>
      <c r="Z35" s="35">
        <f t="shared" si="85"/>
        <v>-1.63195063931014</v>
      </c>
      <c r="AC35" s="27">
        <f t="shared" si="67"/>
        <v>64895.7627118644</v>
      </c>
      <c r="AD35" s="28">
        <v>77590</v>
      </c>
      <c r="AE35" s="29">
        <f t="shared" si="86"/>
        <v>0.16360661539032864</v>
      </c>
      <c r="AF35" s="28">
        <v>24623</v>
      </c>
      <c r="AG35" s="35">
        <f t="shared" si="87"/>
        <v>-1.6355749791603136</v>
      </c>
      <c r="AH35" s="33">
        <v>24662</v>
      </c>
      <c r="AI35" s="35">
        <f t="shared" si="88"/>
        <v>-1.63140713291154</v>
      </c>
      <c r="AL35" s="27">
        <f t="shared" si="68"/>
        <v>64650</v>
      </c>
      <c r="AM35" s="28">
        <v>77590</v>
      </c>
      <c r="AN35" s="29">
        <f t="shared" si="89"/>
        <v>0.16677406882330198</v>
      </c>
      <c r="AO35" s="28">
        <v>24623</v>
      </c>
      <c r="AP35" s="35">
        <f t="shared" si="90"/>
        <v>-1.6255939568695934</v>
      </c>
      <c r="AQ35" s="33">
        <v>24662</v>
      </c>
      <c r="AR35" s="35">
        <f t="shared" si="91"/>
        <v>-1.6214418944124565</v>
      </c>
      <c r="AU35" s="27">
        <f t="shared" si="69"/>
        <v>68009.56896551723</v>
      </c>
      <c r="AV35" s="28">
        <v>77590</v>
      </c>
      <c r="AW35" s="29">
        <f t="shared" si="92"/>
        <v>0.12347507455191092</v>
      </c>
      <c r="AX35" s="28">
        <v>24623</v>
      </c>
      <c r="AY35" s="35">
        <f t="shared" si="93"/>
        <v>-1.7620342348827207</v>
      </c>
      <c r="AZ35" s="33">
        <v>24662</v>
      </c>
      <c r="BA35" s="35">
        <f t="shared" si="94"/>
        <v>-1.7576664084631106</v>
      </c>
      <c r="BD35" s="27">
        <f t="shared" si="70"/>
        <v>68757.32673267326</v>
      </c>
      <c r="BE35" s="28">
        <v>77590</v>
      </c>
      <c r="BF35" s="29">
        <f t="shared" si="95"/>
        <v>0.11383777893190797</v>
      </c>
      <c r="BG35" s="28">
        <v>24623</v>
      </c>
      <c r="BH35" s="35">
        <f t="shared" si="96"/>
        <v>-1.7924024989917255</v>
      </c>
      <c r="BI35" s="33">
        <v>24662</v>
      </c>
      <c r="BJ35" s="35">
        <f t="shared" si="97"/>
        <v>-1.7879866487986886</v>
      </c>
      <c r="BM35" s="27">
        <f t="shared" si="71"/>
        <v>68746.95652173914</v>
      </c>
      <c r="BN35" s="28">
        <v>77590</v>
      </c>
      <c r="BO35" s="29">
        <f t="shared" si="98"/>
        <v>0.11397143289419853</v>
      </c>
      <c r="BP35" s="28">
        <v>24623</v>
      </c>
      <c r="BQ35" s="35">
        <f t="shared" si="99"/>
        <v>-1.7919813394687543</v>
      </c>
      <c r="BR35" s="33">
        <v>24662</v>
      </c>
      <c r="BS35" s="35">
        <f t="shared" si="100"/>
        <v>-1.7875661552890736</v>
      </c>
      <c r="BV35" s="27">
        <f t="shared" si="72"/>
        <v>70364.36046511628</v>
      </c>
      <c r="BW35" s="28">
        <v>77590</v>
      </c>
      <c r="BX35" s="29">
        <f t="shared" si="101"/>
        <v>0.09312591229390031</v>
      </c>
      <c r="BY35" s="28">
        <v>24623</v>
      </c>
      <c r="BZ35" s="35">
        <f t="shared" si="102"/>
        <v>-1.8576680528415008</v>
      </c>
      <c r="CA35" s="33">
        <v>24662</v>
      </c>
      <c r="CB35" s="35">
        <f t="shared" si="103"/>
        <v>-1.8531489929898741</v>
      </c>
      <c r="CE35" s="27">
        <f t="shared" si="73"/>
        <v>69087.0979020979</v>
      </c>
      <c r="CF35" s="28">
        <v>77590</v>
      </c>
      <c r="CG35" s="29">
        <f t="shared" si="104"/>
        <v>0.10958760275682564</v>
      </c>
      <c r="CH35" s="28">
        <v>24623</v>
      </c>
      <c r="CI35" s="35">
        <f t="shared" si="105"/>
        <v>-1.8057953093488974</v>
      </c>
      <c r="CJ35" s="33">
        <v>24662</v>
      </c>
      <c r="CK35" s="35">
        <f t="shared" si="106"/>
        <v>-1.8013582800299206</v>
      </c>
      <c r="CN35" s="27">
        <f t="shared" si="74"/>
        <v>68880.3821656051</v>
      </c>
      <c r="CO35" s="28">
        <v>77590</v>
      </c>
      <c r="CP35" s="29">
        <f t="shared" si="107"/>
        <v>0.11225180866599947</v>
      </c>
      <c r="CQ35" s="28">
        <v>24623</v>
      </c>
      <c r="CR35" s="35">
        <f t="shared" si="108"/>
        <v>-1.7974000798280103</v>
      </c>
      <c r="CS35" s="33">
        <v>24662</v>
      </c>
      <c r="CT35" s="35">
        <f t="shared" si="109"/>
        <v>-1.7929763265592855</v>
      </c>
      <c r="CV35" s="31" t="s">
        <v>15</v>
      </c>
      <c r="CW35" s="27">
        <f t="shared" si="75"/>
        <v>69072.51461988305</v>
      </c>
      <c r="CX35" s="28">
        <v>77590</v>
      </c>
      <c r="CY35" s="29">
        <f t="shared" si="110"/>
        <v>0.10977555587210919</v>
      </c>
      <c r="CZ35" s="28">
        <v>24623</v>
      </c>
      <c r="DA35" s="35">
        <f t="shared" si="111"/>
        <v>-1.8052030467401636</v>
      </c>
      <c r="DB35" s="33">
        <v>24662</v>
      </c>
      <c r="DC35" s="35">
        <f t="shared" si="112"/>
        <v>-1.8007669540135856</v>
      </c>
      <c r="DF35" s="27">
        <f t="shared" si="76"/>
        <v>64720</v>
      </c>
      <c r="DG35" s="28">
        <v>77590</v>
      </c>
      <c r="DH35" s="29">
        <f t="shared" si="113"/>
        <v>0.16587189070756542</v>
      </c>
      <c r="DI35" s="28">
        <v>24623</v>
      </c>
      <c r="DJ35" s="35">
        <f t="shared" si="114"/>
        <v>-1.6284368273565366</v>
      </c>
      <c r="DK35" s="33">
        <v>24662</v>
      </c>
      <c r="DL35" s="35">
        <f t="shared" si="115"/>
        <v>-1.6242802692401266</v>
      </c>
    </row>
    <row r="36" spans="2:116" ht="13.5" thickBot="1">
      <c r="B36" s="439">
        <f>SUM('Statistique 02-03'!X61)</f>
        <v>67994</v>
      </c>
      <c r="C36" s="41">
        <v>62056</v>
      </c>
      <c r="D36" s="42">
        <f t="shared" si="77"/>
        <v>-0.09568776588887457</v>
      </c>
      <c r="E36" s="41">
        <v>47225</v>
      </c>
      <c r="F36" s="44">
        <f t="shared" si="78"/>
        <v>-0.43978824775013237</v>
      </c>
      <c r="G36" s="43">
        <v>49166</v>
      </c>
      <c r="H36" s="44">
        <f t="shared" si="79"/>
        <v>-0.38294756539071717</v>
      </c>
      <c r="K36" s="27">
        <f t="shared" si="65"/>
        <v>70238.95161290323</v>
      </c>
      <c r="L36" s="41">
        <v>62056</v>
      </c>
      <c r="M36" s="42">
        <f t="shared" si="80"/>
        <v>-0.1318639875741786</v>
      </c>
      <c r="N36" s="41">
        <v>58192</v>
      </c>
      <c r="O36" s="44">
        <f t="shared" si="81"/>
        <v>-0.20702075221513658</v>
      </c>
      <c r="P36" s="43">
        <v>47225</v>
      </c>
      <c r="Q36" s="44">
        <f t="shared" si="82"/>
        <v>-0.48732560323776025</v>
      </c>
      <c r="T36" s="27">
        <f t="shared" si="66"/>
        <v>68652.44444444445</v>
      </c>
      <c r="U36" s="160">
        <v>62056</v>
      </c>
      <c r="V36" s="42">
        <f t="shared" si="83"/>
        <v>-0.10629825390686562</v>
      </c>
      <c r="W36" s="41">
        <v>58192</v>
      </c>
      <c r="X36" s="44">
        <f t="shared" si="84"/>
        <v>-0.1797574313384048</v>
      </c>
      <c r="Y36" s="43">
        <v>47225</v>
      </c>
      <c r="Z36" s="44">
        <f t="shared" si="85"/>
        <v>-0.4537309570025294</v>
      </c>
      <c r="AC36" s="27">
        <f t="shared" si="67"/>
        <v>66210.3813559322</v>
      </c>
      <c r="AD36" s="41">
        <v>62056</v>
      </c>
      <c r="AE36" s="42">
        <f t="shared" si="86"/>
        <v>-0.06694568383286388</v>
      </c>
      <c r="AF36" s="41">
        <v>58192</v>
      </c>
      <c r="AG36" s="44">
        <f t="shared" si="87"/>
        <v>-0.13779181598728693</v>
      </c>
      <c r="AH36" s="43">
        <v>47225</v>
      </c>
      <c r="AI36" s="44">
        <f t="shared" si="88"/>
        <v>-0.4020197216714071</v>
      </c>
      <c r="AL36" s="27">
        <f t="shared" si="68"/>
        <v>64825.00000000001</v>
      </c>
      <c r="AM36" s="41">
        <v>62056</v>
      </c>
      <c r="AN36" s="42">
        <f t="shared" si="89"/>
        <v>-0.04462098749516578</v>
      </c>
      <c r="AO36" s="41">
        <v>58192</v>
      </c>
      <c r="AP36" s="44">
        <f t="shared" si="90"/>
        <v>-0.11398474017047029</v>
      </c>
      <c r="AQ36" s="43">
        <v>47225</v>
      </c>
      <c r="AR36" s="44">
        <f t="shared" si="91"/>
        <v>-0.3726839597670727</v>
      </c>
      <c r="AU36" s="27">
        <f t="shared" si="69"/>
        <v>65385.34482758621</v>
      </c>
      <c r="AV36" s="41">
        <v>62056</v>
      </c>
      <c r="AW36" s="42">
        <f t="shared" si="92"/>
        <v>-0.05365065146941811</v>
      </c>
      <c r="AX36" s="41">
        <v>58192</v>
      </c>
      <c r="AY36" s="44">
        <f t="shared" si="93"/>
        <v>-0.12361398177732695</v>
      </c>
      <c r="AZ36" s="43">
        <v>47225</v>
      </c>
      <c r="BA36" s="44">
        <f t="shared" si="94"/>
        <v>-0.38454938756138085</v>
      </c>
      <c r="BD36" s="27">
        <f t="shared" si="70"/>
        <v>67109.40594059405</v>
      </c>
      <c r="BE36" s="41">
        <v>62056</v>
      </c>
      <c r="BF36" s="42">
        <f t="shared" si="95"/>
        <v>-0.08143299504631381</v>
      </c>
      <c r="BG36" s="41">
        <v>58192</v>
      </c>
      <c r="BH36" s="44">
        <f t="shared" si="96"/>
        <v>-0.15324109741191314</v>
      </c>
      <c r="BI36" s="43">
        <v>47225</v>
      </c>
      <c r="BJ36" s="44">
        <f t="shared" si="97"/>
        <v>-0.42105676952025517</v>
      </c>
      <c r="BM36" s="27">
        <f t="shared" si="71"/>
        <v>67253.63043478261</v>
      </c>
      <c r="BN36" s="41">
        <v>62056</v>
      </c>
      <c r="BO36" s="42">
        <f t="shared" si="98"/>
        <v>-0.08375709737628284</v>
      </c>
      <c r="BP36" s="41">
        <v>58192</v>
      </c>
      <c r="BQ36" s="44">
        <f t="shared" si="99"/>
        <v>-0.15571952218144433</v>
      </c>
      <c r="BR36" s="43">
        <v>47225</v>
      </c>
      <c r="BS36" s="44">
        <f t="shared" si="100"/>
        <v>-0.4241107556333003</v>
      </c>
      <c r="BV36" s="27">
        <f t="shared" si="72"/>
        <v>67727.30620155038</v>
      </c>
      <c r="BW36" s="41">
        <v>62056</v>
      </c>
      <c r="BX36" s="42">
        <f t="shared" si="101"/>
        <v>-0.09139013474201338</v>
      </c>
      <c r="BY36" s="41">
        <v>58192</v>
      </c>
      <c r="BZ36" s="44">
        <f t="shared" si="102"/>
        <v>-0.16385939994415696</v>
      </c>
      <c r="CA36" s="43">
        <v>47225</v>
      </c>
      <c r="CB36" s="44">
        <f t="shared" si="103"/>
        <v>-0.4341409465653866</v>
      </c>
      <c r="CE36" s="27">
        <f t="shared" si="73"/>
        <v>67528.82867132868</v>
      </c>
      <c r="CF36" s="41">
        <v>62056</v>
      </c>
      <c r="CG36" s="42">
        <f t="shared" si="104"/>
        <v>-0.0881917730973424</v>
      </c>
      <c r="CH36" s="41">
        <v>58192</v>
      </c>
      <c r="CI36" s="44">
        <f t="shared" si="105"/>
        <v>-0.16044866427221405</v>
      </c>
      <c r="CJ36" s="43">
        <v>47225</v>
      </c>
      <c r="CK36" s="44">
        <f t="shared" si="106"/>
        <v>-0.4299381402081245</v>
      </c>
      <c r="CN36" s="27">
        <f t="shared" si="74"/>
        <v>67815.6050955414</v>
      </c>
      <c r="CO36" s="41">
        <v>62056</v>
      </c>
      <c r="CP36" s="42">
        <f t="shared" si="107"/>
        <v>-0.09281302526011015</v>
      </c>
      <c r="CQ36" s="41">
        <v>58192</v>
      </c>
      <c r="CR36" s="44">
        <f t="shared" si="108"/>
        <v>-0.16537677164457995</v>
      </c>
      <c r="CS36" s="43">
        <v>47225</v>
      </c>
      <c r="CT36" s="44">
        <f t="shared" si="109"/>
        <v>-0.4360106955117289</v>
      </c>
      <c r="CV36" s="36" t="s">
        <v>124</v>
      </c>
      <c r="CW36" s="27">
        <f t="shared" si="75"/>
        <v>68165.35087719298</v>
      </c>
      <c r="CX36" s="41">
        <v>62056</v>
      </c>
      <c r="CY36" s="42">
        <f t="shared" si="110"/>
        <v>-0.0984489957005443</v>
      </c>
      <c r="CZ36" s="41">
        <v>58192</v>
      </c>
      <c r="DA36" s="44">
        <f t="shared" si="111"/>
        <v>-0.17138697548104512</v>
      </c>
      <c r="DB36" s="43">
        <v>47225</v>
      </c>
      <c r="DC36" s="44">
        <f t="shared" si="112"/>
        <v>-0.44341664112637325</v>
      </c>
      <c r="DF36" s="27">
        <f t="shared" si="76"/>
        <v>63870</v>
      </c>
      <c r="DG36" s="41">
        <v>62056</v>
      </c>
      <c r="DH36" s="42">
        <f t="shared" si="113"/>
        <v>-0.029231661724893644</v>
      </c>
      <c r="DI36" s="41">
        <v>58192</v>
      </c>
      <c r="DJ36" s="44">
        <f t="shared" si="114"/>
        <v>-0.09757354962881495</v>
      </c>
      <c r="DK36" s="43">
        <v>47225</v>
      </c>
      <c r="DL36" s="44">
        <f t="shared" si="115"/>
        <v>-0.3524616199047115</v>
      </c>
    </row>
    <row r="37" spans="2:116" ht="13.5" thickBot="1">
      <c r="B37" s="440">
        <f>SUM(B31:B36)</f>
        <v>789382</v>
      </c>
      <c r="C37" s="53">
        <f>SUM(C31:C36)</f>
        <v>716015</v>
      </c>
      <c r="D37" s="54">
        <f t="shared" si="77"/>
        <v>-0.1024657304665405</v>
      </c>
      <c r="E37" s="55">
        <f>SUM(E31:E36)</f>
        <v>578640</v>
      </c>
      <c r="F37" s="56">
        <f t="shared" si="78"/>
        <v>-0.3642022673855938</v>
      </c>
      <c r="G37" s="55">
        <f>SUM(G31:G36)</f>
        <v>543255</v>
      </c>
      <c r="H37" s="56">
        <f t="shared" si="79"/>
        <v>-0.45305979696459303</v>
      </c>
      <c r="K37" s="52">
        <f>SUM(K31:K36)</f>
        <v>729929.3548387098</v>
      </c>
      <c r="L37" s="53">
        <f>SUM(L31:L36)</f>
        <v>716015</v>
      </c>
      <c r="M37" s="54">
        <f t="shared" si="80"/>
        <v>-0.01943304936168909</v>
      </c>
      <c r="N37" s="55">
        <f>SUM(N31:N36)</f>
        <v>652726</v>
      </c>
      <c r="O37" s="56">
        <f t="shared" si="81"/>
        <v>-0.1182783508527465</v>
      </c>
      <c r="P37" s="55">
        <f>SUM(P31:P36)</f>
        <v>578640</v>
      </c>
      <c r="Q37" s="56">
        <f t="shared" si="82"/>
        <v>-0.2614567863243291</v>
      </c>
      <c r="T37" s="52">
        <f>SUM(T31:T36)</f>
        <v>718851.2777777779</v>
      </c>
      <c r="U37" s="49">
        <f>SUM(U31:U36)</f>
        <v>716015</v>
      </c>
      <c r="V37" s="54">
        <f t="shared" si="83"/>
        <v>-0.003961198826529987</v>
      </c>
      <c r="W37" s="55">
        <f>SUM(W31:W36)</f>
        <v>652726</v>
      </c>
      <c r="X37" s="56">
        <f t="shared" si="84"/>
        <v>-0.10130633340448805</v>
      </c>
      <c r="Y37" s="55">
        <f>SUM(Y31:Y36)</f>
        <v>578640</v>
      </c>
      <c r="Z37" s="56">
        <f t="shared" si="85"/>
        <v>-0.24231176167872576</v>
      </c>
      <c r="AC37" s="52">
        <f>SUM(AC31:AC36)</f>
        <v>685686.5254237289</v>
      </c>
      <c r="AD37" s="53">
        <f>SUM(AD31:AD36)</f>
        <v>716015</v>
      </c>
      <c r="AE37" s="54">
        <f t="shared" si="86"/>
        <v>0.04235731734149583</v>
      </c>
      <c r="AF37" s="55">
        <f>SUM(AF31:AF36)</f>
        <v>652726</v>
      </c>
      <c r="AG37" s="56">
        <f t="shared" si="87"/>
        <v>-0.050496725155316106</v>
      </c>
      <c r="AH37" s="55">
        <f>SUM(AH31:AH36)</f>
        <v>578640</v>
      </c>
      <c r="AI37" s="56">
        <f t="shared" si="88"/>
        <v>-0.18499676037558563</v>
      </c>
      <c r="AL37" s="52">
        <f>SUM(AL31:AL36)</f>
        <v>676375</v>
      </c>
      <c r="AM37" s="53">
        <f>SUM(AM31:AM36)</f>
        <v>716015</v>
      </c>
      <c r="AN37" s="54">
        <f t="shared" si="89"/>
        <v>0.055361968673840634</v>
      </c>
      <c r="AO37" s="55">
        <f>SUM(AO31:AO36)</f>
        <v>652726</v>
      </c>
      <c r="AP37" s="56">
        <f t="shared" si="90"/>
        <v>-0.036231129141477435</v>
      </c>
      <c r="AQ37" s="55">
        <f>SUM(AQ31:AQ36)</f>
        <v>578640</v>
      </c>
      <c r="AR37" s="56">
        <f t="shared" si="91"/>
        <v>-0.16890467302640674</v>
      </c>
      <c r="AU37" s="52">
        <f>SUM(AU31:AU36)</f>
        <v>677995.8908045978</v>
      </c>
      <c r="AV37" s="53">
        <f>SUM(AV31:AV36)</f>
        <v>716015</v>
      </c>
      <c r="AW37" s="54">
        <f t="shared" si="92"/>
        <v>0.05309820212621557</v>
      </c>
      <c r="AX37" s="55">
        <f>SUM(AX31:AX36)</f>
        <v>652726</v>
      </c>
      <c r="AY37" s="56">
        <f t="shared" si="93"/>
        <v>-0.03871439287633365</v>
      </c>
      <c r="AZ37" s="55">
        <f>SUM(AZ31:AZ36)</f>
        <v>574640</v>
      </c>
      <c r="BA37" s="56">
        <f t="shared" si="94"/>
        <v>-0.17986198455484784</v>
      </c>
      <c r="BD37" s="52">
        <f>SUM(BD31:BD36)</f>
        <v>684671.3366336633</v>
      </c>
      <c r="BE37" s="53">
        <f>SUM(BE31:BE36)</f>
        <v>716015</v>
      </c>
      <c r="BF37" s="54">
        <f t="shared" si="95"/>
        <v>0.0437751490769561</v>
      </c>
      <c r="BG37" s="55">
        <f>SUM(BG31:BG36)</f>
        <v>652726</v>
      </c>
      <c r="BH37" s="56">
        <f t="shared" si="96"/>
        <v>-0.048941418962418035</v>
      </c>
      <c r="BI37" s="55">
        <f>SUM(BI31:BI36)</f>
        <v>578640</v>
      </c>
      <c r="BJ37" s="56">
        <f t="shared" si="97"/>
        <v>-0.18324232101766777</v>
      </c>
      <c r="BM37" s="52">
        <f>SUM(BM31:BM36)</f>
        <v>692985.8260869565</v>
      </c>
      <c r="BN37" s="53">
        <f>SUM(BN31:BN36)</f>
        <v>716015</v>
      </c>
      <c r="BO37" s="54">
        <f t="shared" si="98"/>
        <v>0.03216297691115893</v>
      </c>
      <c r="BP37" s="55">
        <f>SUM(BP31:BP36)</f>
        <v>652726</v>
      </c>
      <c r="BQ37" s="56">
        <f t="shared" si="99"/>
        <v>-0.06167951956403842</v>
      </c>
      <c r="BR37" s="55">
        <f>SUM(BR31:BR36)</f>
        <v>578640</v>
      </c>
      <c r="BS37" s="56">
        <f t="shared" si="100"/>
        <v>-0.19761134053462695</v>
      </c>
      <c r="BV37" s="52">
        <f>SUM(BV31:BV36)</f>
        <v>697680.5232558139</v>
      </c>
      <c r="BW37" s="53">
        <f>SUM(BW31:BW36)</f>
        <v>716015</v>
      </c>
      <c r="BX37" s="54">
        <f t="shared" si="101"/>
        <v>0.025606274650930683</v>
      </c>
      <c r="BY37" s="55">
        <f>SUM(BY31:BY36)</f>
        <v>652726</v>
      </c>
      <c r="BZ37" s="56">
        <f t="shared" si="102"/>
        <v>-0.06887196657680844</v>
      </c>
      <c r="CA37" s="55">
        <f>SUM(CA31:CA36)</f>
        <v>578640</v>
      </c>
      <c r="CB37" s="56">
        <f t="shared" si="103"/>
        <v>-0.20572467035775935</v>
      </c>
      <c r="CE37" s="52">
        <f>SUM(CE31:CE36)</f>
        <v>694873.2167832168</v>
      </c>
      <c r="CF37" s="53">
        <f>SUM(CF31:CF36)</f>
        <v>716015</v>
      </c>
      <c r="CG37" s="54">
        <f t="shared" si="104"/>
        <v>0.029527011608392554</v>
      </c>
      <c r="CH37" s="55">
        <f>SUM(CH31:CH36)</f>
        <v>652726</v>
      </c>
      <c r="CI37" s="56">
        <f t="shared" si="105"/>
        <v>-0.0645710708370998</v>
      </c>
      <c r="CJ37" s="55">
        <f>SUM(CJ31:CJ36)</f>
        <v>578640</v>
      </c>
      <c r="CK37" s="56">
        <f t="shared" si="106"/>
        <v>-0.20087311071342598</v>
      </c>
      <c r="CN37" s="52">
        <f>SUM(CN31:CN36)</f>
        <v>698868.0573248407</v>
      </c>
      <c r="CO37" s="53">
        <f>SUM(CO31:CO36)</f>
        <v>716015</v>
      </c>
      <c r="CP37" s="54">
        <f t="shared" si="107"/>
        <v>0.023947742261208653</v>
      </c>
      <c r="CQ37" s="55">
        <f>SUM(CQ31:CQ36)</f>
        <v>652726</v>
      </c>
      <c r="CR37" s="56">
        <f t="shared" si="108"/>
        <v>-0.07069131201275985</v>
      </c>
      <c r="CS37" s="55">
        <f>SUM(CS31:CS36)</f>
        <v>578640</v>
      </c>
      <c r="CT37" s="56">
        <f t="shared" si="109"/>
        <v>-0.20777695514454703</v>
      </c>
      <c r="CV37" s="45" t="s">
        <v>16</v>
      </c>
      <c r="CW37" s="52">
        <f>SUM(CW31:CW36)</f>
        <v>696934.4152046784</v>
      </c>
      <c r="CX37" s="53">
        <f>SUM(CX31:CX36)</f>
        <v>716015</v>
      </c>
      <c r="CY37" s="54">
        <f t="shared" si="110"/>
        <v>0.026648303171472064</v>
      </c>
      <c r="CZ37" s="55">
        <f>SUM(CZ31:CZ36)</f>
        <v>652726</v>
      </c>
      <c r="DA37" s="56">
        <f t="shared" si="111"/>
        <v>-0.0677289018741071</v>
      </c>
      <c r="DB37" s="55">
        <f>SUM(DB31:DB36)</f>
        <v>578640</v>
      </c>
      <c r="DC37" s="56">
        <f t="shared" si="112"/>
        <v>-0.20443525370641233</v>
      </c>
      <c r="DF37" s="52">
        <f>SUM(DF31:DF36)</f>
        <v>653018</v>
      </c>
      <c r="DG37" s="53">
        <f>SUM(DG31:DG36)</f>
        <v>716015</v>
      </c>
      <c r="DH37" s="54">
        <f t="shared" si="113"/>
        <v>0.08798279365655748</v>
      </c>
      <c r="DI37" s="55">
        <f>SUM(DI31:DI36)</f>
        <v>652726</v>
      </c>
      <c r="DJ37" s="56">
        <f t="shared" si="114"/>
        <v>-0.0004473546327249106</v>
      </c>
      <c r="DK37" s="55">
        <f>SUM(DK31:DK36)</f>
        <v>578640</v>
      </c>
      <c r="DL37" s="56">
        <f t="shared" si="115"/>
        <v>-0.12853933360984376</v>
      </c>
    </row>
    <row r="38" spans="1:115" ht="13.5" thickBot="1">
      <c r="A38" s="1" t="s">
        <v>17</v>
      </c>
      <c r="B38" s="59">
        <v>723973</v>
      </c>
      <c r="C38" s="60"/>
      <c r="D38" s="60"/>
      <c r="E38" s="4"/>
      <c r="F38" s="4"/>
      <c r="G38" s="4"/>
      <c r="J38" s="1" t="s">
        <v>17</v>
      </c>
      <c r="K38" s="59">
        <v>723973</v>
      </c>
      <c r="L38" s="60"/>
      <c r="M38" s="60"/>
      <c r="N38" s="4"/>
      <c r="O38" s="4"/>
      <c r="P38" s="4"/>
      <c r="S38" s="1" t="s">
        <v>17</v>
      </c>
      <c r="T38" s="59">
        <v>723973</v>
      </c>
      <c r="U38" s="60"/>
      <c r="V38" s="60"/>
      <c r="W38" s="4"/>
      <c r="X38" s="4"/>
      <c r="Y38" s="4"/>
      <c r="AB38" s="1" t="s">
        <v>17</v>
      </c>
      <c r="AC38" s="59">
        <v>723973</v>
      </c>
      <c r="AD38" s="60"/>
      <c r="AE38" s="60"/>
      <c r="AF38" s="4"/>
      <c r="AG38" s="4"/>
      <c r="AH38" s="4"/>
      <c r="AK38" s="1" t="s">
        <v>17</v>
      </c>
      <c r="AL38" s="59">
        <v>723973</v>
      </c>
      <c r="AM38" s="60"/>
      <c r="AN38" s="60"/>
      <c r="AO38" s="4"/>
      <c r="AP38" s="4"/>
      <c r="AQ38" s="4"/>
      <c r="AT38" s="1" t="s">
        <v>17</v>
      </c>
      <c r="AU38" s="59">
        <v>723973</v>
      </c>
      <c r="AV38" s="60"/>
      <c r="AW38" s="60"/>
      <c r="AX38" s="4"/>
      <c r="AY38" s="4"/>
      <c r="AZ38" s="4"/>
      <c r="BC38" s="1" t="s">
        <v>17</v>
      </c>
      <c r="BD38" s="59">
        <v>723973</v>
      </c>
      <c r="BE38" s="60"/>
      <c r="BF38" s="60"/>
      <c r="BG38" s="4"/>
      <c r="BH38" s="4"/>
      <c r="BI38" s="4"/>
      <c r="BL38" s="1" t="s">
        <v>17</v>
      </c>
      <c r="BM38" s="59">
        <v>723973</v>
      </c>
      <c r="BN38" s="60"/>
      <c r="BO38" s="60"/>
      <c r="BP38" s="4"/>
      <c r="BQ38" s="4"/>
      <c r="BR38" s="4"/>
      <c r="BU38" s="1" t="s">
        <v>17</v>
      </c>
      <c r="BV38" s="59">
        <v>723973</v>
      </c>
      <c r="BW38" s="60"/>
      <c r="BX38" s="60"/>
      <c r="BY38" s="4"/>
      <c r="BZ38" s="4"/>
      <c r="CA38" s="4"/>
      <c r="CD38" s="1" t="s">
        <v>17</v>
      </c>
      <c r="CE38" s="59">
        <v>723973</v>
      </c>
      <c r="CF38" s="60"/>
      <c r="CG38" s="60"/>
      <c r="CH38" s="4"/>
      <c r="CI38" s="4"/>
      <c r="CJ38" s="4"/>
      <c r="CM38" s="1" t="s">
        <v>17</v>
      </c>
      <c r="CN38" s="59">
        <v>723973</v>
      </c>
      <c r="CO38" s="60"/>
      <c r="CP38" s="60"/>
      <c r="CQ38" s="4"/>
      <c r="CR38" s="4"/>
      <c r="CS38" s="4"/>
      <c r="CV38" s="1" t="s">
        <v>17</v>
      </c>
      <c r="CW38" s="59">
        <v>723973</v>
      </c>
      <c r="CX38" s="60"/>
      <c r="CY38" s="60"/>
      <c r="CZ38" s="4"/>
      <c r="DA38" s="4"/>
      <c r="DB38" s="4"/>
      <c r="DE38" s="1" t="s">
        <v>17</v>
      </c>
      <c r="DF38" s="59">
        <v>723973</v>
      </c>
      <c r="DG38" s="60"/>
      <c r="DH38" s="60"/>
      <c r="DI38" s="4"/>
      <c r="DJ38" s="4"/>
      <c r="DK38" s="4"/>
    </row>
    <row r="39" spans="1:115" ht="13.5" thickBot="1">
      <c r="A39" s="45" t="s">
        <v>18</v>
      </c>
      <c r="B39" s="64">
        <f>B38-B37</f>
        <v>-65409</v>
      </c>
      <c r="C39" s="65"/>
      <c r="D39" s="65"/>
      <c r="E39" s="65"/>
      <c r="F39" s="65"/>
      <c r="G39" s="65"/>
      <c r="J39" s="45" t="s">
        <v>18</v>
      </c>
      <c r="K39" s="64">
        <f>K38-K37</f>
        <v>-5956.354838709813</v>
      </c>
      <c r="L39" s="65"/>
      <c r="M39" s="65"/>
      <c r="N39" s="65"/>
      <c r="O39" s="65"/>
      <c r="P39" s="65"/>
      <c r="S39" s="45" t="s">
        <v>18</v>
      </c>
      <c r="T39" s="64">
        <f>T38-T37</f>
        <v>5121.722222222132</v>
      </c>
      <c r="U39" s="65"/>
      <c r="V39" s="65"/>
      <c r="W39" s="65"/>
      <c r="X39" s="65"/>
      <c r="Y39" s="65"/>
      <c r="AB39" s="45" t="s">
        <v>18</v>
      </c>
      <c r="AC39" s="64">
        <f>AC38-AC37</f>
        <v>38286.47457627114</v>
      </c>
      <c r="AD39" s="65"/>
      <c r="AE39" s="65"/>
      <c r="AF39" s="65"/>
      <c r="AG39" s="65"/>
      <c r="AH39" s="65"/>
      <c r="AK39" s="45" t="s">
        <v>18</v>
      </c>
      <c r="AL39" s="64">
        <f>AL38-AL37</f>
        <v>47598</v>
      </c>
      <c r="AM39" s="65"/>
      <c r="AN39" s="65"/>
      <c r="AO39" s="65"/>
      <c r="AP39" s="65"/>
      <c r="AQ39" s="65"/>
      <c r="AT39" s="45" t="s">
        <v>18</v>
      </c>
      <c r="AU39" s="64">
        <f>AU38-AU37</f>
        <v>45977.10919540224</v>
      </c>
      <c r="AV39" s="65"/>
      <c r="AW39" s="65"/>
      <c r="AX39" s="65"/>
      <c r="AY39" s="65"/>
      <c r="AZ39" s="65"/>
      <c r="BC39" s="45" t="s">
        <v>18</v>
      </c>
      <c r="BD39" s="64">
        <f>BD38-BD37</f>
        <v>39301.663366336725</v>
      </c>
      <c r="BE39" s="65"/>
      <c r="BF39" s="65"/>
      <c r="BG39" s="65"/>
      <c r="BH39" s="65"/>
      <c r="BI39" s="65"/>
      <c r="BL39" s="45" t="s">
        <v>18</v>
      </c>
      <c r="BM39" s="64">
        <f>BM38-BM37</f>
        <v>30987.173913043458</v>
      </c>
      <c r="BN39" s="65"/>
      <c r="BO39" s="65"/>
      <c r="BP39" s="65"/>
      <c r="BQ39" s="65"/>
      <c r="BR39" s="65"/>
      <c r="BU39" s="45" t="s">
        <v>18</v>
      </c>
      <c r="BV39" s="64">
        <f>BV38-BV37</f>
        <v>26292.476744186133</v>
      </c>
      <c r="BW39" s="65"/>
      <c r="BX39" s="65"/>
      <c r="BY39" s="65"/>
      <c r="BZ39" s="65"/>
      <c r="CA39" s="65"/>
      <c r="CD39" s="45" t="s">
        <v>18</v>
      </c>
      <c r="CE39" s="64">
        <f>CE38-CE37</f>
        <v>29099.783216783195</v>
      </c>
      <c r="CF39" s="65"/>
      <c r="CG39" s="65"/>
      <c r="CH39" s="65"/>
      <c r="CI39" s="65"/>
      <c r="CJ39" s="65"/>
      <c r="CM39" s="45" t="s">
        <v>18</v>
      </c>
      <c r="CN39" s="64">
        <f>CN38-CN37</f>
        <v>25104.942675159313</v>
      </c>
      <c r="CO39" s="65"/>
      <c r="CP39" s="65"/>
      <c r="CQ39" s="65"/>
      <c r="CR39" s="65"/>
      <c r="CS39" s="65"/>
      <c r="CV39" s="45" t="s">
        <v>18</v>
      </c>
      <c r="CW39" s="64">
        <f>CW38-CW37</f>
        <v>27038.58479532157</v>
      </c>
      <c r="CX39" s="65"/>
      <c r="CY39" s="65"/>
      <c r="CZ39" s="65"/>
      <c r="DA39" s="65"/>
      <c r="DB39" s="65"/>
      <c r="DE39" s="45" t="s">
        <v>18</v>
      </c>
      <c r="DF39" s="64">
        <f>DF38-DF37</f>
        <v>70955</v>
      </c>
      <c r="DG39" s="65"/>
      <c r="DH39" s="65"/>
      <c r="DI39" s="65"/>
      <c r="DJ39" s="65"/>
      <c r="DK39" s="65"/>
    </row>
    <row r="40" spans="1:115" ht="13.5" thickBot="1">
      <c r="A40" s="47" t="s">
        <v>4</v>
      </c>
      <c r="B40" s="66">
        <f>B39/B38</f>
        <v>-0.0903472919570205</v>
      </c>
      <c r="C40" s="69"/>
      <c r="D40" s="69"/>
      <c r="E40" s="69"/>
      <c r="F40" s="69"/>
      <c r="G40" s="69"/>
      <c r="J40" s="47" t="s">
        <v>4</v>
      </c>
      <c r="K40" s="66">
        <f>K39/K38</f>
        <v>-0.008227316265537268</v>
      </c>
      <c r="L40" s="69"/>
      <c r="M40" s="69"/>
      <c r="N40" s="69"/>
      <c r="O40" s="69"/>
      <c r="P40" s="69"/>
      <c r="S40" s="47" t="s">
        <v>4</v>
      </c>
      <c r="T40" s="66">
        <f>T39/T38</f>
        <v>0.007074465791158139</v>
      </c>
      <c r="U40" s="69"/>
      <c r="V40" s="69"/>
      <c r="W40" s="69"/>
      <c r="X40" s="69"/>
      <c r="Y40" s="69"/>
      <c r="AB40" s="47" t="s">
        <v>4</v>
      </c>
      <c r="AC40" s="66">
        <f>AC39/AC38</f>
        <v>0.052883843149221225</v>
      </c>
      <c r="AD40" s="69"/>
      <c r="AE40" s="69"/>
      <c r="AF40" s="69"/>
      <c r="AG40" s="69"/>
      <c r="AH40" s="69"/>
      <c r="AK40" s="47" t="s">
        <v>4</v>
      </c>
      <c r="AL40" s="66">
        <f>AL39/AL38</f>
        <v>0.06574554575930318</v>
      </c>
      <c r="AM40" s="69"/>
      <c r="AN40" s="69"/>
      <c r="AO40" s="69"/>
      <c r="AP40" s="69"/>
      <c r="AQ40" s="69"/>
      <c r="AT40" s="47" t="s">
        <v>4</v>
      </c>
      <c r="AU40" s="66">
        <f>AU39/AU38</f>
        <v>0.06350666281118528</v>
      </c>
      <c r="AV40" s="69"/>
      <c r="AW40" s="69"/>
      <c r="AX40" s="69"/>
      <c r="AY40" s="69"/>
      <c r="AZ40" s="69"/>
      <c r="BC40" s="47" t="s">
        <v>4</v>
      </c>
      <c r="BD40" s="66">
        <f>BD39/BD38</f>
        <v>0.054286089904370366</v>
      </c>
      <c r="BE40" s="69"/>
      <c r="BF40" s="69"/>
      <c r="BG40" s="69"/>
      <c r="BH40" s="69"/>
      <c r="BI40" s="69"/>
      <c r="BL40" s="47" t="s">
        <v>4</v>
      </c>
      <c r="BM40" s="66">
        <f>BM39/BM38</f>
        <v>0.04280156015907148</v>
      </c>
      <c r="BN40" s="69"/>
      <c r="BO40" s="69"/>
      <c r="BP40" s="69"/>
      <c r="BQ40" s="69"/>
      <c r="BR40" s="69"/>
      <c r="BU40" s="47" t="s">
        <v>4</v>
      </c>
      <c r="BV40" s="66">
        <f>BV39/BV38</f>
        <v>0.03631692997416497</v>
      </c>
      <c r="BW40" s="69"/>
      <c r="BX40" s="69"/>
      <c r="BY40" s="69"/>
      <c r="BZ40" s="69"/>
      <c r="CA40" s="69"/>
      <c r="CD40" s="47" t="s">
        <v>4</v>
      </c>
      <c r="CE40" s="66">
        <f>CE39/CE38</f>
        <v>0.04019456971017316</v>
      </c>
      <c r="CF40" s="69"/>
      <c r="CG40" s="69"/>
      <c r="CH40" s="69"/>
      <c r="CI40" s="69"/>
      <c r="CJ40" s="69"/>
      <c r="CM40" s="47" t="s">
        <v>4</v>
      </c>
      <c r="CN40" s="66">
        <f>CN39/CN38</f>
        <v>0.0346766283758639</v>
      </c>
      <c r="CO40" s="69"/>
      <c r="CP40" s="69"/>
      <c r="CQ40" s="69"/>
      <c r="CR40" s="69"/>
      <c r="CS40" s="69"/>
      <c r="CV40" s="47" t="s">
        <v>4</v>
      </c>
      <c r="CW40" s="66">
        <f>CW39/CW38</f>
        <v>0.03734750438942001</v>
      </c>
      <c r="CX40" s="69"/>
      <c r="CY40" s="69"/>
      <c r="CZ40" s="69"/>
      <c r="DA40" s="69"/>
      <c r="DB40" s="69"/>
      <c r="DE40" s="47" t="s">
        <v>4</v>
      </c>
      <c r="DF40" s="66">
        <f>DF39/DF38</f>
        <v>0.09800779863337444</v>
      </c>
      <c r="DG40" s="69"/>
      <c r="DH40" s="69"/>
      <c r="DI40" s="69"/>
      <c r="DJ40" s="69"/>
      <c r="DK40" s="69"/>
    </row>
  </sheetData>
  <sheetProtection/>
  <mergeCells count="78">
    <mergeCell ref="DJ12:DK12"/>
    <mergeCell ref="DH13:DI13"/>
    <mergeCell ref="M13:N13"/>
    <mergeCell ref="V13:W13"/>
    <mergeCell ref="AE13:AF13"/>
    <mergeCell ref="AN13:AO13"/>
    <mergeCell ref="AW13:AX13"/>
    <mergeCell ref="BF13:BG13"/>
    <mergeCell ref="BO13:BP13"/>
    <mergeCell ref="BX13:BY13"/>
    <mergeCell ref="CG13:CH13"/>
    <mergeCell ref="BH12:BI12"/>
    <mergeCell ref="BQ12:BR12"/>
    <mergeCell ref="CR12:CS12"/>
    <mergeCell ref="CP13:CQ13"/>
    <mergeCell ref="DA12:DB12"/>
    <mergeCell ref="CY13:CZ13"/>
    <mergeCell ref="AP12:AQ12"/>
    <mergeCell ref="AY12:AZ12"/>
    <mergeCell ref="X12:Y12"/>
    <mergeCell ref="AG12:AH12"/>
    <mergeCell ref="BZ12:CA12"/>
    <mergeCell ref="CI12:CJ12"/>
    <mergeCell ref="F12:G12"/>
    <mergeCell ref="D13:E13"/>
    <mergeCell ref="O12:P12"/>
    <mergeCell ref="A1:I1"/>
    <mergeCell ref="A2:I2"/>
    <mergeCell ref="A3:I3"/>
    <mergeCell ref="J1:R1"/>
    <mergeCell ref="J2:R2"/>
    <mergeCell ref="J3:R3"/>
    <mergeCell ref="A9:I9"/>
    <mergeCell ref="S1:AA1"/>
    <mergeCell ref="S2:AA2"/>
    <mergeCell ref="S3:AA3"/>
    <mergeCell ref="AB1:AJ1"/>
    <mergeCell ref="AB2:AJ2"/>
    <mergeCell ref="AB3:AJ3"/>
    <mergeCell ref="AK1:AS1"/>
    <mergeCell ref="AK2:AS2"/>
    <mergeCell ref="AK3:AS3"/>
    <mergeCell ref="AT1:BB1"/>
    <mergeCell ref="AT2:BB2"/>
    <mergeCell ref="AT3:BB3"/>
    <mergeCell ref="BC1:BK1"/>
    <mergeCell ref="BC2:BK2"/>
    <mergeCell ref="BC3:BK3"/>
    <mergeCell ref="BL1:BT1"/>
    <mergeCell ref="BL2:BT2"/>
    <mergeCell ref="BL3:BT3"/>
    <mergeCell ref="CV1:DD1"/>
    <mergeCell ref="CV2:DD2"/>
    <mergeCell ref="CV3:DD3"/>
    <mergeCell ref="BU1:CC1"/>
    <mergeCell ref="BU2:CC2"/>
    <mergeCell ref="BU3:CC3"/>
    <mergeCell ref="CD1:CL1"/>
    <mergeCell ref="CD2:CL2"/>
    <mergeCell ref="CD3:CL3"/>
    <mergeCell ref="J9:R9"/>
    <mergeCell ref="S9:AA9"/>
    <mergeCell ref="AB9:AJ9"/>
    <mergeCell ref="AK9:AS9"/>
    <mergeCell ref="DE1:DM1"/>
    <mergeCell ref="DE2:DM2"/>
    <mergeCell ref="DE3:DM3"/>
    <mergeCell ref="CM1:CU1"/>
    <mergeCell ref="CM2:CU2"/>
    <mergeCell ref="CM3:CU3"/>
    <mergeCell ref="CD9:CL9"/>
    <mergeCell ref="CM9:CU9"/>
    <mergeCell ref="CV9:DD9"/>
    <mergeCell ref="DE9:DM9"/>
    <mergeCell ref="AT9:BB9"/>
    <mergeCell ref="BC9:BK9"/>
    <mergeCell ref="BL9:BT9"/>
    <mergeCell ref="BU9:CC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  <headerFooter alignWithMargins="0">
    <oddHeader>&amp;C&amp;14Cité de la Santé de Laval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 Boucher</cp:lastModifiedBy>
  <cp:lastPrinted>2003-10-01T19:01:00Z</cp:lastPrinted>
  <dcterms:created xsi:type="dcterms:W3CDTF">2001-09-19T19:26:33Z</dcterms:created>
  <dcterms:modified xsi:type="dcterms:W3CDTF">2012-07-30T18:08:31Z</dcterms:modified>
  <cp:category/>
  <cp:version/>
  <cp:contentType/>
  <cp:contentStatus/>
</cp:coreProperties>
</file>